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tabRatio="643" activeTab="0"/>
  </bookViews>
  <sheets>
    <sheet name="Приключили проекти_HP" sheetId="1" r:id="rId1"/>
    <sheet name="Приключили проекти ОП  " sheetId="2" r:id="rId2"/>
    <sheet name="Приключили проекти др.ин." sheetId="3" r:id="rId3"/>
    <sheet name="Приключили проекти НП" sheetId="4" r:id="rId4"/>
    <sheet name="В процес на изграждане HP" sheetId="5" r:id="rId5"/>
    <sheet name="В процес на изграждане ОП" sheetId="6" r:id="rId6"/>
    <sheet name="В процес на изграждане др. ин." sheetId="7" r:id="rId7"/>
    <sheet name="В процес на изграждане НП" sheetId="8" r:id="rId8"/>
    <sheet name="v proces na kandidatstvane_HP" sheetId="9" r:id="rId9"/>
    <sheet name="В процес на кандидатстване ОП" sheetId="10" r:id="rId10"/>
    <sheet name="В процес на кандидатстване др.и" sheetId="11" r:id="rId11"/>
    <sheet name="В процес на кандидатстване_НП" sheetId="12" r:id="rId12"/>
  </sheets>
  <definedNames>
    <definedName name="_xlnm.Print_Area" localSheetId="4">'В процес на изграждане HP'!$A$1:$F$7</definedName>
    <definedName name="_xlnm.Print_Area" localSheetId="5">'В процес на изграждане ОП'!$A$1:$E$38</definedName>
    <definedName name="_xlnm.Print_Area" localSheetId="9">'В процес на кандидатстване ОП'!$A$1:$E$7</definedName>
    <definedName name="_xlnm.Print_Area" localSheetId="1">'Приключили проекти ОП  '!$A$1:$E$50</definedName>
    <definedName name="_xlnm.Print_Area" localSheetId="0">'Приключили проекти_HP'!$A$1:$F$37</definedName>
    <definedName name="_xlnm.Print_Titles" localSheetId="4">'В процес на изграждане HP'!$1:$3</definedName>
    <definedName name="_xlnm.Print_Titles" localSheetId="5">'В процес на изграждане ОП'!$1:$3</definedName>
    <definedName name="_xlnm.Print_Titles" localSheetId="1">'Приключили проекти ОП  '!$1:$3</definedName>
    <definedName name="_xlnm.Print_Titles" localSheetId="0">'Приключили проекти_HP'!$1:$3</definedName>
  </definedNames>
  <calcPr fullCalcOnLoad="1"/>
</workbook>
</file>

<file path=xl/comments2.xml><?xml version="1.0" encoding="utf-8"?>
<comments xmlns="http://schemas.openxmlformats.org/spreadsheetml/2006/main">
  <authors>
    <author>so_user</author>
  </authors>
  <commentList>
    <comment ref="D25" authorId="0">
      <text>
        <r>
          <rPr>
            <b/>
            <sz val="8"/>
            <rFont val="Tahoma"/>
            <family val="2"/>
          </rPr>
          <t>so_user:</t>
        </r>
        <r>
          <rPr>
            <sz val="8"/>
            <rFont val="Tahoma"/>
            <family val="2"/>
          </rPr>
          <t xml:space="preserve">
258111575,55 Финансиране от Метрополитен
</t>
        </r>
      </text>
    </comment>
  </commentList>
</comments>
</file>

<file path=xl/comments4.xml><?xml version="1.0" encoding="utf-8"?>
<comments xmlns="http://schemas.openxmlformats.org/spreadsheetml/2006/main">
  <authors>
    <author>so_user</author>
  </authors>
  <commentList>
    <comment ref="D6" authorId="0">
      <text>
        <r>
          <rPr>
            <b/>
            <sz val="8"/>
            <rFont val="Tahoma"/>
            <family val="2"/>
          </rPr>
          <t>so_user:</t>
        </r>
        <r>
          <rPr>
            <sz val="8"/>
            <rFont val="Tahoma"/>
            <family val="2"/>
          </rPr>
          <t xml:space="preserve">
съфинансирането е 100000лв от СО и 300000лв. От "Софийска вода"</t>
        </r>
      </text>
    </comment>
  </commentList>
</comments>
</file>

<file path=xl/comments6.xml><?xml version="1.0" encoding="utf-8"?>
<comments xmlns="http://schemas.openxmlformats.org/spreadsheetml/2006/main">
  <authors>
    <author>Olga Ivanova</author>
  </authors>
  <commentList>
    <comment ref="D21" authorId="0">
      <text>
        <r>
          <rPr>
            <b/>
            <sz val="8"/>
            <rFont val="Tahoma"/>
            <family val="2"/>
          </rPr>
          <t>Olga Ivanova:</t>
        </r>
        <r>
          <rPr>
            <sz val="8"/>
            <rFont val="Tahoma"/>
            <family val="2"/>
          </rPr>
          <t xml:space="preserve">
183 265 848,03 финансиране от Метрополитен и 70512954,2 от СО
</t>
        </r>
      </text>
    </comment>
  </commentList>
</comments>
</file>

<file path=xl/sharedStrings.xml><?xml version="1.0" encoding="utf-8"?>
<sst xmlns="http://schemas.openxmlformats.org/spreadsheetml/2006/main" count="295" uniqueCount="195">
  <si>
    <t>№ по ред</t>
  </si>
  <si>
    <t>Наименование на Проект</t>
  </si>
  <si>
    <t xml:space="preserve"> Програма на ЕС или др. източник на финансиране</t>
  </si>
  <si>
    <t>Стойност на Проекта 
/лева/</t>
  </si>
  <si>
    <t>Съ-финансиране от СО</t>
  </si>
  <si>
    <t>Безвъзмездна финансова помощ</t>
  </si>
  <si>
    <t>Региони за изследване /R4R/</t>
  </si>
  <si>
    <t>Еуфония 2009 – Струнни музикални инструменти, възраждане на лютиерството /EUFONIA/</t>
  </si>
  <si>
    <t>"Култура 2007-2013 г."</t>
  </si>
  <si>
    <t>URBACT II</t>
  </si>
  <si>
    <t>Социална мрежа за сближаване /CoNet Cohesion Network/</t>
  </si>
  <si>
    <t>Трансфер на партньорски инициативи за развитие на услугите за управление на мобилността /PIMMS Transfer/</t>
  </si>
  <si>
    <t>INTERREG IVC</t>
  </si>
  <si>
    <t>Среща на културите между редовете /Meeting Cultures between the Lines/</t>
  </si>
  <si>
    <t>Програма за учение през целия живот</t>
  </si>
  <si>
    <t xml:space="preserve">София град на многообразието </t>
  </si>
  <si>
    <t>Европейски фонд за интеграция на граждани на трети страни</t>
  </si>
  <si>
    <t>ОП "РЕГИОНАЛНО РАЗВИТИЕ" 2007-2013</t>
  </si>
  <si>
    <t>"Укрепване на свлачище в местността "Кутлина", кв. "Филиповци", район "Люлин" – II етап. Силово укрепване."</t>
  </si>
  <si>
    <t>Сбор по ОП "Регионално развитие" 2007-2013 г.</t>
  </si>
  <si>
    <t>ОП "ОКОЛНА СРЕДА 2007-2013"</t>
  </si>
  <si>
    <t>Сбор по ОП "Околна среда 2007-2013 г."</t>
  </si>
  <si>
    <t>ОП "РАЗВИТИЕ НА ЧОВЕШКИТЕ РЕСУРСИ" 2007-2013</t>
  </si>
  <si>
    <t>"Училищни клубове по безопасност на движението" - "Да направим училището привлекателно за младите хора"</t>
  </si>
  <si>
    <t>"Столична Община – Център за Интеграция и Образование" /СОЦИО/</t>
  </si>
  <si>
    <t>"Социални услуги за достоен и независим живот" - Първи етап</t>
  </si>
  <si>
    <t>"Изграждане на център за консултиране, подкрепа и подготовка за самостоятелен живот на юноши в риск"</t>
  </si>
  <si>
    <t>Сбор по ОП "Развитие на човешките ресурси" 2007-2013</t>
  </si>
  <si>
    <t>ОП "АДМИНИСТРАТИВЕН КАПАЦИТЕТ" 2007-2013</t>
  </si>
  <si>
    <t xml:space="preserve"> "Повишаване качеството на административното обслужване от дирекция "Административна" на направление "Архитектура и градоустройство" чрез облекчаване на регулаторните режими и развитие на електронен регистър"</t>
  </si>
  <si>
    <t>Сбор по ОП "Административен капацитет"</t>
  </si>
  <si>
    <t>Ефективно интегриране на устойчиви енергийни политики за постигане на ниско-карбонова икономика  /LEAP/</t>
  </si>
  <si>
    <t>Управления на общинската собственост /PROMISE/</t>
  </si>
  <si>
    <t>Превенция образуването на отпадъци /Pre-Waste/</t>
  </si>
  <si>
    <t>Капитализиране на партньорски инициативи за развитие на услугите за управление на мобилността /PIMMS Capital/</t>
  </si>
  <si>
    <t>Стратегии за рационално рехабилитиране на сгради, чрез възобновяеми енергийни източници /Crrescendo/</t>
  </si>
  <si>
    <t>Управление на отпадъците фокусирано върху Знание и Интеграция за създаване на Транснационален икономически растеж /WASTE-KIT/</t>
  </si>
  <si>
    <t>Мрежа на местните власти  - Обсерватория за активно включване  към местна власт София 2011 г.</t>
  </si>
  <si>
    <t>PROGRESS</t>
  </si>
  <si>
    <t>Мрежа на местните власти  - Обсерватория за активно включване  към местна власт София 2012 г.</t>
  </si>
  <si>
    <t>Сегментиран маркетинг за енергийно ефективен транспорт /SEGMENT/</t>
  </si>
  <si>
    <t>Превенция и подготовка при кризи
/GOES – Good On Emergency Situations/</t>
  </si>
  <si>
    <t>Региони за рециклиране – минимизиране образуването на отпадъци /R4R/</t>
  </si>
  <si>
    <t>Оползотворяване добавената стойност на водните ресурси за местно и регионално развитие /Aqua-Add/</t>
  </si>
  <si>
    <t>Подобряване на регионалните политики за финансово устойчиви креативни бизнес инкубатори /InCompass/</t>
  </si>
  <si>
    <t>Доброволци за Европейска заетост /VERSO/</t>
  </si>
  <si>
    <t>"Реализация на инвестиционни дейности за намаляване на консумацията на енергия в девет училища на територията на райони "Илинден", "Студентски", "Красно село", "Връбница", "Искър", "Нови Искър", "Възраждане", "Слатина", "Кремиковци" на Столична община"</t>
  </si>
  <si>
    <t>"Корекция на река Суходолска и ремонтни дейности на язовир "Суходол 2",  квартал "Суходол", район "Овча купел", Столична община"</t>
  </si>
  <si>
    <t>"Проект за интегриран столичен градски транспорт"</t>
  </si>
  <si>
    <t xml:space="preserve">"Изграждане на социална инфраструктура в подкрепа за деинституционализация на социални институции, предлагащи услуги за деца в риск на територията на Столична община" </t>
  </si>
  <si>
    <t>Сбор по ОПРР</t>
  </si>
  <si>
    <t>"Изграждане на интегрирана система от съоръжения за третиране на битовите отпадъци на Столична община" - I ви етап</t>
  </si>
  <si>
    <t>"Изграждане на 4 четири главни канализационни колектора на територията на район "Овча купел"</t>
  </si>
  <si>
    <t>"Изграждане на 5 главни канализационни клонове в кв. "Суходол" и подмяна на съществуващите водопроводи, попадащи в трасетата им"</t>
  </si>
  <si>
    <t>"Подмяна и изграждане на водопровод и канализация на територията на район "Овча купел" за кв. "Овча купел-стара част", кв. "Горна баня" и кв. "в. з. Горна баня"</t>
  </si>
  <si>
    <t>"Демонстрационен проект за възстановяване на приоритетни хабитати тип влажни зони и видове с европейско значение по течението на река Лесновска"</t>
  </si>
  <si>
    <t>Сбор по ОПОС</t>
  </si>
  <si>
    <t>ОП "ТРАНСПОРТ" 2007-2013</t>
  </si>
  <si>
    <t>"Технически проект за подготовка на Инвестиционен проект за Трети метродиаметър на Метрото в София "Кв. Княжево – ЦГЧ – бул. Ботевградско шосе"</t>
  </si>
  <si>
    <t>Сбор по ОПТ</t>
  </si>
  <si>
    <t>"Социални услуги за достоен и независим живот" - Втори етап</t>
  </si>
  <si>
    <t>Сбор по ОПРЧР</t>
  </si>
  <si>
    <t>Сбор по ОПАК</t>
  </si>
  <si>
    <t>ОП "ТЕХНИЧЕСКА ПОМОЩ"</t>
  </si>
  <si>
    <t>"Изграждане и функциониране на Областен информационен център София-град и София-област за популяризиране на Кохезионната политика в България"</t>
  </si>
  <si>
    <t>Сбор по ОПТП</t>
  </si>
  <si>
    <t>Стойност на Проекта лева</t>
  </si>
  <si>
    <t>Стойност на Проекта</t>
  </si>
  <si>
    <t>Съ-финансиране на СО</t>
  </si>
  <si>
    <t>"Изграждане на Дубльор на Ляв Владайски колектор"</t>
  </si>
  <si>
    <t>"Изграждане на инженерната инфраструктура на ВиК мрежата на гр. Банкя и на кварталите Градоман, Михайлово, Вердикал и с. Иваняне, район Банкя" - главни канализационни колектори и подмяна на съществуващи водопроводи попадащи по трасетата им"</t>
  </si>
  <si>
    <t>Програма за развитието на селските райони</t>
  </si>
  <si>
    <t>ПРОГРАМА ЗА РАЗВИТИЕТО НА СЕЛСКИТЕ РАЙОНИ  2007-2013</t>
  </si>
  <si>
    <t>Финансиране</t>
  </si>
  <si>
    <t>FP6 /Sixth framework programme/</t>
  </si>
  <si>
    <t>Сбор по ПРСР</t>
  </si>
  <si>
    <t>FP7/Sеventh framework programme/</t>
  </si>
  <si>
    <t>IEE/Intelligent Energy Europe/</t>
  </si>
  <si>
    <t>SEE/South - East Europe/</t>
  </si>
  <si>
    <t>DG ECHO</t>
  </si>
  <si>
    <t>Проекти на етап кандидатстване и оценка</t>
  </si>
  <si>
    <t xml:space="preserve">Проекти на етап кандидатстване и оценка </t>
  </si>
  <si>
    <t>Механизъм за подобряване на взаимовръзката и устойчивостта
на предприятията /MESSE/</t>
  </si>
  <si>
    <t>Иновации за активен живот на възрастните хора - изпълняван от Асоциация за развитие на София</t>
  </si>
  <si>
    <t>Стратегии за публично осветление за устойчиви градски пространства - изпълняван от Асоциация за развитие на София</t>
  </si>
  <si>
    <t>"Подкрепа за междурегионално сътрудничество и обмен на най-добри практики между София и Атина в областта на туризма"</t>
  </si>
  <si>
    <t>"Подготовка на инвестиционен проект за закриване и рекултивация на депо за битови отпадъци – с. Долни Богров"</t>
  </si>
  <si>
    <t xml:space="preserve"> "Залесяване на неземеделски земи от общинския фонд на Столична община"</t>
  </si>
  <si>
    <t xml:space="preserve"> План за действие за ИКТ – подкрепа за ученето през целия живот</t>
  </si>
  <si>
    <t>"Фестивали за изкуство в публичното пространство: SOFIA CONTEMPORARY и Фестивал на открито в Западен парк"</t>
  </si>
  <si>
    <t>"Проект за разширение на Метрото в София: Етап ІІ – Лот 1 "Обеля – Надежда" и Лот 2 "Младост 1 – Цариградско шосе"</t>
  </si>
  <si>
    <t>"Модерната администрация – гарант на модерното образование"</t>
  </si>
  <si>
    <t>"Чрез ефективни партньорства към устойчиво развитие на София"</t>
  </si>
  <si>
    <t>"Разработване и предлагане на единна методология за функционален анализ на Столична община и район "Витоша"</t>
  </si>
  <si>
    <t>"Рехабилитация и възстановяване на детски площадки и зони за обществен отдих в междублокови пространства, и доизграждане и реконструкция на пешеходни подлези на територията на райони "Подуяне", "Оборище", "Средец", "Триадица", "Сердика", "Слатина", "Витошa" на Столична община"</t>
  </si>
  <si>
    <t>"Дейности свързани с подготовка за осъществяване на инвестиционен проект по изграждане на канализация на местностите "Манастирски ливади – изток" /район "Триадица"/, "Кръстова вада - изток" /район "Лозенец"/ и "Гърдова глава" /район "Витоша"/ на територията на град София"</t>
  </si>
  <si>
    <t>"Адаптация на Централна минерална баня за музей на София с активно присъствие на минерална  вода – I-ви етап"</t>
  </si>
  <si>
    <t>"Проект за разширение на метрото в София: Етап 1 – ІІ-ри метродиаметър; у-к  Пътен възел Надежда  (МС 5 ІІ) – бул. Черни връх (МС 11 ІІ)"</t>
  </si>
  <si>
    <t>"Устойчиво управление на горите и опазване на околната среда чрез създаване на система за превенция и ранно оповестяване - противопожарна защита" - поземлени  имоти, общинска собственост в землищата на гр. Бухово – поземлен имот № 810210, с. Плана – поземлен имот № 002028 и с. Бистрица - поземлен имот № 001486"</t>
  </si>
  <si>
    <t xml:space="preserve">118 805,40 </t>
  </si>
  <si>
    <t xml:space="preserve">50 916,50 </t>
  </si>
  <si>
    <t>Урбанистична гъвкавост и устойчивост /TURaS/</t>
  </si>
  <si>
    <t>"Инженерна инфраструктура на местност "Бул. Сливница"- ІІ етап, между ул. "Минск " и бул. "Панчо Владигеров"</t>
  </si>
  <si>
    <t>SEE /South - East Europe/</t>
  </si>
  <si>
    <t>"Изграждане на интегрирана система от съоръжения за третиране на битовите отпадъци на Столична община" - ІІ-ри етап</t>
  </si>
  <si>
    <t>Сбор по проекти на етап кандидатстване и оценка - 0</t>
  </si>
  <si>
    <t>Звено за услуги в домашна среда „Помощ в дома”</t>
  </si>
  <si>
    <t>"Проект за разширение на метрото в София Етап III, Лот 1 "Цариградско шосе - Летище София" и Лот 2 "ж.к. Младост 1 - Бизнес парк в Младост 4"</t>
  </si>
  <si>
    <t>"Създаване на проектна готовност на Столична община за кандидатстване по ОПРР - 2014-2020"</t>
  </si>
  <si>
    <t>Превеция на ранното отпадане на децата от училище /Prevent/ І-ва фаза</t>
  </si>
  <si>
    <t>Превеция на ранното отпадане на децата от училище /Prevent/ ІІ фаза</t>
  </si>
  <si>
    <t>"Парково пространство на Национален дворец на културата – възстановяване и обновяване"</t>
  </si>
  <si>
    <t>Сбор по ТГС</t>
  </si>
  <si>
    <t>Железопътни градски центрове /RAIL4SEE/</t>
  </si>
  <si>
    <t xml:space="preserve">Изпълнение на дейности за подобряване качеството на атмосферния въздух чрез закупуване и доставка на 20 трамвайни мотриси </t>
  </si>
  <si>
    <t>Обновяване на столичния автопарк чрез закупуване на 126 автобуса</t>
  </si>
  <si>
    <t xml:space="preserve"> Взаимодействие на местните власти за прилагане на нови технологии за независим живот на възрастните хора /SEE INNOVA/</t>
  </si>
  <si>
    <t>"Създаване на регионален туристически продукт в общините Столична, Ихтиман и Своге"</t>
  </si>
  <si>
    <t>"Създаване на ефективни  механизми за мониторинг и контрол при подготовката и изпълнението на плана за развитие на СТОЛИЧНА ОБЩИНА 2014-2020 година "</t>
  </si>
  <si>
    <t>Изготвяне на Интегриран план за градско възстановяване и развитие за град София</t>
  </si>
  <si>
    <t>Програма за Трансгранично сътрудничество Република България Република Сърбия 2007-2013</t>
  </si>
  <si>
    <t>Управление на дустинации София-Ниш</t>
  </si>
  <si>
    <t>Отворени градове /OPENCities/</t>
  </si>
  <si>
    <t>Разработване на мерки и стратегии за проектиране на енергийно ефективни сгради /MILD HOME/</t>
  </si>
  <si>
    <t>Комплексни предизвикателства, Иновативни градове /CCIC/</t>
  </si>
  <si>
    <t>Енергийна визия 2020 за градовете от Югоизточна Европа /EnVision 2020/</t>
  </si>
  <si>
    <t>Поощряване използването на екологично чисти и енерго-ефективни превозни средства /Clean Fleets/</t>
  </si>
  <si>
    <t>Иновационни политики за активно стареене /Inn.O.V.Age/</t>
  </si>
  <si>
    <t>Поощряване на устойчивата градска мобилност /SUM/</t>
  </si>
  <si>
    <t>"Технологично обновление и ремонт на Специализирана болница за активно лечение на онкологични заболявания" ЕООД, гр. София"</t>
  </si>
  <si>
    <t>Устойчиво Следване на Практики за Ефективност, Ефикасност и Екипна Хармония  /"УСПЕЕЕХ"/</t>
  </si>
  <si>
    <t xml:space="preserve"> „Шанс за децата – разкриване на тринадесет „Центрове за настаняване от семеен тип“ за деца и младежи и три „Защитени жилища“ в Столична община“ </t>
  </si>
  <si>
    <t xml:space="preserve"> Изграждане на Комплекс за социално - здравни услуги за деца от 0 до 3 години и техните семейства „Св. Параскева” в Столична община </t>
  </si>
  <si>
    <t>Сбор по проекти на етап кандидатстване и оценка - 1</t>
  </si>
  <si>
    <t>„Осигуряване на съвременни социални жилища за настаняване на уязвими групи от населението на територията на райони „Люлин” и „Връбница” на Столична община”</t>
  </si>
  <si>
    <t>Сбор по "Транспорт" 2007-2013</t>
  </si>
  <si>
    <t>МТСП - Генерална дирекция "Трудова заетост, социални въпроси и равни възможности"</t>
  </si>
  <si>
    <t>"Мрежа на местните власти - Обсерватория за активно включване към местна власт София 2010 г."</t>
  </si>
  <si>
    <t>Сбор по МТСП</t>
  </si>
  <si>
    <t>МОСВ - ПУДООС</t>
  </si>
  <si>
    <t>"Изграждане на канализация и подмяна на съществуващ водопровод по ул. "Витоша", ул. "Детелина" и „Младен Карадашев”- кв. "Горубляне".</t>
  </si>
  <si>
    <t xml:space="preserve">"Изграждане на главен колектор, отвеждащ водите от вилна зона "Бояна" и подмяна на съществуващ водопровод, попадащ в трасето на колектора". </t>
  </si>
  <si>
    <t>"Изграждане на канализация и подмяна на съществуващ водопровод по ул. "Освобождение", ул. "Цветна градина" и ул. „Петър Дипларов” - кв. "Горубляне".</t>
  </si>
  <si>
    <t>"Изграждане на канализация и подмяна на съществуващ водопровод по ул. Павел Красов, ул. Гродно, ул. Роса, ул. Поручик Мороз” и ул. „Преслав”.</t>
  </si>
  <si>
    <t>Сбор по МОСВ - ПУДООС</t>
  </si>
  <si>
    <t xml:space="preserve"> МОСВ - НАЦИОНАЛЕН ДОВЕРИТЕЛЕН ЕКОФОНД</t>
  </si>
  <si>
    <t>"Подкрепа за прилагане на мерки за енергийна ефективност в общинска образователна инфраструктура за 56 СОУ "Константин Иречек", район "Люлин" и 78 СОУ "Хр. Смирненски", район "Банкя"</t>
  </si>
  <si>
    <t>Сбор по МОСВ - НДЕФ</t>
  </si>
  <si>
    <t xml:space="preserve"> Проекти, финансирани от други инициативи на ЕС</t>
  </si>
  <si>
    <t>Сбор по приключили проекти - 1</t>
  </si>
  <si>
    <t xml:space="preserve"> Проекти, финансирани от Национални програми</t>
  </si>
  <si>
    <t>Приключили проекти, финансирани от други инициативи на ЕС</t>
  </si>
  <si>
    <t>Сбор по приключили проекти - 5</t>
  </si>
  <si>
    <t>Приключили проекти, финансирани от Национални програми</t>
  </si>
  <si>
    <t>Министерство на труда и социалната политика - Световна банка</t>
  </si>
  <si>
    <t>"Социално включване чрез създаване на общностни центрове за деца и семейства в рискови групи на територията на Столична община”</t>
  </si>
  <si>
    <t>"Закриване и рекултивация на депото в Долни Богров, чрез оползотворяване и обезвреждане"</t>
  </si>
  <si>
    <t>Сбор по МОСВ</t>
  </si>
  <si>
    <t xml:space="preserve"> МИЕТ - Международен фонд "Козлодуй"</t>
  </si>
  <si>
    <t>"Изпълнение на мерки за енергийна ефективност на 26 сгради на детски и учебни заведения на територията на Столична община - МФК и Европейска банка за възстановяване и развитие /ЕБВР/"</t>
  </si>
  <si>
    <t>"Подобряване на енергийната ефективност на уличното осветление на град София"</t>
  </si>
  <si>
    <t>Сбор по МИЕТ</t>
  </si>
  <si>
    <t>Проекти в процес на изпълнение, финансирани от други инициативи на ЕС</t>
  </si>
  <si>
    <t>Сбор по проекти в процес на изпълнение - 3</t>
  </si>
  <si>
    <t>Проекти в процес на изпълнение, финансирани от Национални програми</t>
  </si>
  <si>
    <t>Сбор по проекти в процес на изпълнение - 1</t>
  </si>
  <si>
    <t xml:space="preserve"> МОСВ - НАЦИОНАЛЕН ДОВЕРИТЕЛЕН ЕКОФОНД /НДЕФ/</t>
  </si>
  <si>
    <t>"Подобряване на енергийната ефективност на обект: 85 СОУ "Отец Паисий", р-н "Кремиковци", Столична община</t>
  </si>
  <si>
    <t>"Подобряване на енергийната ефективност наобект 146 ОУ "Патриарх Евтимий", с. Волуяк, р-н "Връбница" Столична община</t>
  </si>
  <si>
    <t>"Подобряване на енергийната ефективност на обект: 29 СОУ "Кузман Шапкарев" , р-н "Сердика" Столична община</t>
  </si>
  <si>
    <t>Сбор по НДЕФ</t>
  </si>
  <si>
    <t>Финансов механизъм на Европейското икономическо пространство /2009-2014 г./</t>
  </si>
  <si>
    <t>Сбор по ЕИП</t>
  </si>
  <si>
    <t>Проекти, финансирани от други инициативи на ЕС</t>
  </si>
  <si>
    <t>Проекти, финансирани от Национални програми</t>
  </si>
  <si>
    <t>Сбор по проекти на етап кандидатстване и оценка - 3</t>
  </si>
  <si>
    <t xml:space="preserve">Приключили проекти, финансирани от Общностни програми на ЕС </t>
  </si>
  <si>
    <t xml:space="preserve"> Приключили проекти, финансирани от Оперативни програми на ЕС</t>
  </si>
  <si>
    <t xml:space="preserve">Проекти, финансирани от Общностни програми на ЕС </t>
  </si>
  <si>
    <t xml:space="preserve">Проекти в процес на изпълнение, финансирани от Общностни програми на ЕС </t>
  </si>
  <si>
    <t>Проектив процес на изпъленение, финансирани от Оперативни програми на ЕС</t>
  </si>
  <si>
    <t>Проекти, финансирани от Оперативни програми на ЕС</t>
  </si>
  <si>
    <t>Сбор по проекти в процес на изпълнение -3</t>
  </si>
  <si>
    <t>„Рехабилитация на вътрешно-отоплителни инсталации в 3 училища и 1 детска градина, и „Ремонт на вътрешна топлопреносна инсталация в сградата на Дневен център за лица с ментални увреждания „Света Марина“- гр. София“ на територията на Столична община“</t>
  </si>
  <si>
    <t>Сбор по приключили проекти - 32</t>
  </si>
  <si>
    <t>Сбор по проекти на етап кандидатстване и оценка - 5</t>
  </si>
  <si>
    <t>„Дигитализация на културното наследство - достъпен портал към историческата памет“, БГ 08 „Културно наследство и съвременни изкуства“</t>
  </si>
  <si>
    <t xml:space="preserve">Мерки за използване на възобновяема енергия, покредством оползотворяване на биомасата като енергиен източник </t>
  </si>
  <si>
    <t>„Античната история на София, културно-историческо наследство достъпно за всички", БГ 08 „Културно наследство и съвременни изкуства“</t>
  </si>
  <si>
    <t xml:space="preserve">
„Да изразим себе си, „БГ06 „Деца и младежи в риск”
</t>
  </si>
  <si>
    <t>Сбор по проекти в процес на изпълнение - 20</t>
  </si>
  <si>
    <t>"Подобряване икономическата стойност на горите"-"Закупуване на специализирана горска техника и оборудване и машини за извоз и товарене на дървесина"</t>
  </si>
  <si>
    <t xml:space="preserve">
"Първоначално залесяване на неземеделски земи"-"Залесяване и последващо отглеждане на създадената култура с площ от 83.04 дка в имот № 122009 общинска собственост, в землището на кв.Суходол, район "Овча Купел"</t>
  </si>
  <si>
    <t>Сбор по приключили проекти - 33</t>
  </si>
  <si>
    <t xml:space="preserve">Доставка на 10 бр. метровлакове за участъците от етап 3 на проект за разширение на метрото в София: лот 1, бул. Цариградско шосе - летище София и лот 2 ж.к. Младост 1 - Бизнес парк Младост 4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</si>
</sst>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4"/>
      <name val="All 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name val="Arial"/>
      <family val="2"/>
    </font>
    <font>
      <sz val="12"/>
      <name val="All 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24" borderId="10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7" fillId="24" borderId="0" xfId="0" applyFont="1" applyFill="1" applyAlignment="1">
      <alignment/>
    </xf>
    <xf numFmtId="4" fontId="23" fillId="0" borderId="10" xfId="0" applyNumberFormat="1" applyFont="1" applyFill="1" applyBorder="1" applyAlignment="1">
      <alignment horizontal="right" wrapText="1"/>
    </xf>
    <xf numFmtId="0" fontId="23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/>
    </xf>
    <xf numFmtId="4" fontId="25" fillId="0" borderId="10" xfId="0" applyNumberFormat="1" applyFont="1" applyFill="1" applyBorder="1" applyAlignment="1">
      <alignment horizontal="right" wrapText="1"/>
    </xf>
    <xf numFmtId="0" fontId="25" fillId="24" borderId="0" xfId="0" applyFont="1" applyFill="1" applyAlignment="1">
      <alignment/>
    </xf>
    <xf numFmtId="0" fontId="27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4" fontId="0" fillId="24" borderId="0" xfId="0" applyNumberFormat="1" applyFon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24" borderId="0" xfId="0" applyFont="1" applyFill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0" fillId="24" borderId="0" xfId="0" applyNumberFormat="1" applyFill="1" applyAlignment="1">
      <alignment horizontal="right"/>
    </xf>
    <xf numFmtId="4" fontId="0" fillId="24" borderId="0" xfId="0" applyNumberFormat="1" applyFill="1" applyAlignment="1">
      <alignment/>
    </xf>
    <xf numFmtId="0" fontId="0" fillId="24" borderId="0" xfId="0" applyFont="1" applyFill="1" applyAlignment="1">
      <alignment readingOrder="1"/>
    </xf>
    <xf numFmtId="4" fontId="0" fillId="24" borderId="0" xfId="0" applyNumberFormat="1" applyFont="1" applyFill="1" applyAlignment="1">
      <alignment readingOrder="1"/>
    </xf>
    <xf numFmtId="0" fontId="0" fillId="24" borderId="0" xfId="0" applyFont="1" applyFill="1" applyAlignment="1">
      <alignment horizontal="center" readingOrder="1"/>
    </xf>
    <xf numFmtId="4" fontId="0" fillId="24" borderId="0" xfId="0" applyNumberFormat="1" applyFont="1" applyFill="1" applyAlignment="1">
      <alignment horizontal="right" readingOrder="1"/>
    </xf>
    <xf numFmtId="4" fontId="21" fillId="24" borderId="10" xfId="0" applyNumberFormat="1" applyFont="1" applyFill="1" applyBorder="1" applyAlignment="1">
      <alignment horizontal="center" vertical="top" wrapText="1" readingOrder="1"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readingOrder="1"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" fontId="23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 horizontal="center" readingOrder="1"/>
    </xf>
    <xf numFmtId="0" fontId="30" fillId="0" borderId="0" xfId="0" applyFont="1" applyAlignment="1">
      <alignment horizontal="center"/>
    </xf>
    <xf numFmtId="4" fontId="23" fillId="0" borderId="0" xfId="0" applyNumberFormat="1" applyFont="1" applyFill="1" applyAlignment="1">
      <alignment/>
    </xf>
    <xf numFmtId="4" fontId="24" fillId="24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24" fillId="24" borderId="0" xfId="0" applyNumberFormat="1" applyFont="1" applyFill="1" applyBorder="1" applyAlignment="1">
      <alignment/>
    </xf>
    <xf numFmtId="4" fontId="24" fillId="24" borderId="0" xfId="0" applyNumberFormat="1" applyFont="1" applyFill="1" applyAlignment="1">
      <alignment/>
    </xf>
    <xf numFmtId="0" fontId="22" fillId="24" borderId="10" xfId="0" applyFont="1" applyFill="1" applyBorder="1" applyAlignment="1">
      <alignment horizontal="center" vertical="center" wrapText="1" readingOrder="1"/>
    </xf>
    <xf numFmtId="0" fontId="22" fillId="24" borderId="10" xfId="0" applyFont="1" applyFill="1" applyBorder="1" applyAlignment="1">
      <alignment vertical="center" wrapText="1" readingOrder="1"/>
    </xf>
    <xf numFmtId="0" fontId="22" fillId="0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readingOrder="1"/>
    </xf>
    <xf numFmtId="0" fontId="23" fillId="24" borderId="10" xfId="0" applyFont="1" applyFill="1" applyBorder="1" applyAlignment="1">
      <alignment horizontal="center" vertical="center" wrapText="1" readingOrder="1"/>
    </xf>
    <xf numFmtId="0" fontId="23" fillId="0" borderId="10" xfId="0" applyFont="1" applyFill="1" applyBorder="1" applyAlignment="1">
      <alignment horizontal="center" vertical="center" wrapText="1" readingOrder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right" vertical="center" wrapText="1" readingOrder="1"/>
    </xf>
    <xf numFmtId="4" fontId="23" fillId="24" borderId="10" xfId="0" applyNumberFormat="1" applyFont="1" applyFill="1" applyBorder="1" applyAlignment="1">
      <alignment vertical="center" wrapText="1" readingOrder="1"/>
    </xf>
    <xf numFmtId="4" fontId="23" fillId="24" borderId="10" xfId="0" applyNumberFormat="1" applyFont="1" applyFill="1" applyBorder="1" applyAlignment="1">
      <alignment vertical="center" readingOrder="1"/>
    </xf>
    <xf numFmtId="4" fontId="23" fillId="0" borderId="10" xfId="0" applyNumberFormat="1" applyFont="1" applyFill="1" applyBorder="1" applyAlignment="1">
      <alignment horizontal="right" vertical="center" wrapText="1" readingOrder="1"/>
    </xf>
    <xf numFmtId="4" fontId="23" fillId="24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24" borderId="10" xfId="0" applyNumberFormat="1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left" vertical="center" wrapText="1"/>
    </xf>
    <xf numFmtId="4" fontId="23" fillId="24" borderId="10" xfId="0" applyNumberFormat="1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34" fillId="0" borderId="0" xfId="0" applyFont="1" applyAlignment="1">
      <alignment horizontal="left"/>
    </xf>
    <xf numFmtId="0" fontId="25" fillId="0" borderId="12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right" vertical="center" wrapText="1"/>
    </xf>
    <xf numFmtId="4" fontId="25" fillId="24" borderId="10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/>
    </xf>
    <xf numFmtId="4" fontId="25" fillId="24" borderId="0" xfId="0" applyNumberFormat="1" applyFont="1" applyFill="1" applyAlignment="1">
      <alignment/>
    </xf>
    <xf numFmtId="0" fontId="23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wrapText="1"/>
    </xf>
    <xf numFmtId="0" fontId="37" fillId="24" borderId="0" xfId="0" applyFont="1" applyFill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4" fontId="0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vertical="top" wrapText="1"/>
    </xf>
    <xf numFmtId="4" fontId="23" fillId="24" borderId="0" xfId="0" applyNumberFormat="1" applyFont="1" applyFill="1" applyBorder="1" applyAlignment="1">
      <alignment vertical="top" wrapText="1"/>
    </xf>
    <xf numFmtId="3" fontId="0" fillId="24" borderId="0" xfId="0" applyNumberFormat="1" applyFill="1" applyAlignment="1">
      <alignment horizontal="right"/>
    </xf>
    <xf numFmtId="3" fontId="0" fillId="24" borderId="0" xfId="0" applyNumberForma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23" fillId="0" borderId="13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 readingOrder="1"/>
    </xf>
    <xf numFmtId="0" fontId="21" fillId="24" borderId="10" xfId="0" applyFont="1" applyFill="1" applyBorder="1" applyAlignment="1">
      <alignment horizontal="center" vertical="center" wrapText="1" readingOrder="1"/>
    </xf>
    <xf numFmtId="4" fontId="21" fillId="24" borderId="10" xfId="0" applyNumberFormat="1" applyFont="1" applyFill="1" applyBorder="1" applyAlignment="1">
      <alignment horizontal="center" vertical="center" wrapText="1" readingOrder="1"/>
    </xf>
    <xf numFmtId="4" fontId="21" fillId="0" borderId="10" xfId="0" applyNumberFormat="1" applyFont="1" applyFill="1" applyBorder="1" applyAlignment="1">
      <alignment horizontal="center" vertical="center" wrapText="1" readingOrder="1"/>
    </xf>
    <xf numFmtId="0" fontId="25" fillId="0" borderId="12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9" fillId="25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right" vertical="center" wrapText="1"/>
    </xf>
    <xf numFmtId="0" fontId="35" fillId="24" borderId="13" xfId="0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right"/>
    </xf>
    <xf numFmtId="0" fontId="25" fillId="0" borderId="16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right" wrapText="1"/>
    </xf>
    <xf numFmtId="0" fontId="25" fillId="0" borderId="13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/>
    </xf>
    <xf numFmtId="49" fontId="31" fillId="26" borderId="12" xfId="0" applyNumberFormat="1" applyFont="1" applyFill="1" applyBorder="1" applyAlignment="1">
      <alignment horizontal="left" vertical="center" wrapText="1"/>
    </xf>
    <xf numFmtId="49" fontId="31" fillId="26" borderId="13" xfId="0" applyNumberFormat="1" applyFont="1" applyFill="1" applyBorder="1" applyAlignment="1">
      <alignment horizontal="left" vertical="center" wrapText="1"/>
    </xf>
    <xf numFmtId="4" fontId="25" fillId="26" borderId="10" xfId="0" applyNumberFormat="1" applyFont="1" applyFill="1" applyBorder="1" applyAlignment="1">
      <alignment vertical="center" wrapText="1"/>
    </xf>
    <xf numFmtId="0" fontId="25" fillId="27" borderId="12" xfId="0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horizontal="center" vertical="center"/>
    </xf>
    <xf numFmtId="0" fontId="25" fillId="27" borderId="13" xfId="0" applyFont="1" applyFill="1" applyBorder="1" applyAlignment="1">
      <alignment horizontal="center" vertical="center"/>
    </xf>
    <xf numFmtId="49" fontId="31" fillId="26" borderId="12" xfId="0" applyNumberFormat="1" applyFont="1" applyFill="1" applyBorder="1" applyAlignment="1">
      <alignment horizontal="center" vertical="center" wrapText="1"/>
    </xf>
    <xf numFmtId="49" fontId="31" fillId="26" borderId="13" xfId="0" applyNumberFormat="1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5" fillId="27" borderId="14" xfId="0" applyFont="1" applyFill="1" applyBorder="1" applyAlignment="1">
      <alignment horizontal="center" vertical="center" wrapText="1"/>
    </xf>
    <xf numFmtId="0" fontId="25" fillId="27" borderId="13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/>
    </xf>
    <xf numFmtId="49" fontId="25" fillId="26" borderId="12" xfId="0" applyNumberFormat="1" applyFont="1" applyFill="1" applyBorder="1" applyAlignment="1">
      <alignment horizontal="center" vertical="center" wrapText="1"/>
    </xf>
    <xf numFmtId="49" fontId="25" fillId="26" borderId="14" xfId="0" applyNumberFormat="1" applyFont="1" applyFill="1" applyBorder="1" applyAlignment="1">
      <alignment horizontal="center" vertical="center" wrapText="1"/>
    </xf>
    <xf numFmtId="49" fontId="25" fillId="26" borderId="13" xfId="0" applyNumberFormat="1" applyFont="1" applyFill="1" applyBorder="1" applyAlignment="1">
      <alignment horizontal="center" vertical="center" wrapText="1"/>
    </xf>
    <xf numFmtId="4" fontId="25" fillId="26" borderId="10" xfId="0" applyNumberFormat="1" applyFont="1" applyFill="1" applyBorder="1" applyAlignment="1">
      <alignment horizontal="right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/>
    </xf>
    <xf numFmtId="49" fontId="31" fillId="26" borderId="10" xfId="0" applyNumberFormat="1" applyFont="1" applyFill="1" applyBorder="1" applyAlignment="1">
      <alignment horizontal="center" wrapText="1"/>
    </xf>
    <xf numFmtId="4" fontId="25" fillId="26" borderId="10" xfId="0" applyNumberFormat="1" applyFont="1" applyFill="1" applyBorder="1" applyAlignment="1">
      <alignment horizontal="right" wrapText="1"/>
    </xf>
    <xf numFmtId="0" fontId="25" fillId="27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/>
    </xf>
    <xf numFmtId="4" fontId="25" fillId="26" borderId="10" xfId="0" applyNumberFormat="1" applyFont="1" applyFill="1" applyBorder="1" applyAlignment="1">
      <alignment horizontal="center"/>
    </xf>
    <xf numFmtId="4" fontId="25" fillId="26" borderId="10" xfId="0" applyNumberFormat="1" applyFont="1" applyFill="1" applyBorder="1" applyAlignment="1">
      <alignment horizontal="right"/>
    </xf>
    <xf numFmtId="0" fontId="36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5" fillId="27" borderId="14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/>
    </xf>
    <xf numFmtId="0" fontId="29" fillId="26" borderId="10" xfId="0" applyFont="1" applyFill="1" applyBorder="1" applyAlignment="1">
      <alignment horizontal="center" vertical="center" wrapText="1" readingOrder="1"/>
    </xf>
    <xf numFmtId="0" fontId="25" fillId="26" borderId="10" xfId="0" applyFont="1" applyFill="1" applyBorder="1" applyAlignment="1">
      <alignment horizontal="center" vertical="top" wrapText="1" readingOrder="1"/>
    </xf>
    <xf numFmtId="3" fontId="26" fillId="26" borderId="10" xfId="0" applyNumberFormat="1" applyFont="1" applyFill="1" applyBorder="1" applyAlignment="1">
      <alignment horizontal="center" vertical="top" wrapText="1" readingOrder="1"/>
    </xf>
    <xf numFmtId="4" fontId="25" fillId="26" borderId="10" xfId="0" applyNumberFormat="1" applyFont="1" applyFill="1" applyBorder="1" applyAlignment="1">
      <alignment horizontal="right" vertical="top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SheetLayoutView="75" zoomScalePageLayoutView="0" workbookViewId="0" topLeftCell="A1">
      <selection activeCell="I13" sqref="I13"/>
    </sheetView>
  </sheetViews>
  <sheetFormatPr defaultColWidth="9.140625" defaultRowHeight="12.75"/>
  <cols>
    <col min="1" max="1" width="6.8515625" style="29" bestFit="1" customWidth="1"/>
    <col min="2" max="2" width="65.00390625" style="29" customWidth="1"/>
    <col min="3" max="3" width="28.421875" style="31" bestFit="1" customWidth="1"/>
    <col min="4" max="4" width="18.8515625" style="32" customWidth="1"/>
    <col min="5" max="5" width="18.8515625" style="30" customWidth="1"/>
    <col min="6" max="6" width="18.7109375" style="30" customWidth="1"/>
    <col min="7" max="7" width="10.140625" style="29" bestFit="1" customWidth="1"/>
    <col min="8" max="16384" width="9.140625" style="29" customWidth="1"/>
  </cols>
  <sheetData>
    <row r="1" spans="1:6" ht="47.25" customHeight="1">
      <c r="A1" s="180" t="s">
        <v>176</v>
      </c>
      <c r="B1" s="180"/>
      <c r="C1" s="180"/>
      <c r="D1" s="180"/>
      <c r="E1" s="180"/>
      <c r="F1" s="180"/>
    </row>
    <row r="2" spans="1:6" ht="39" customHeight="1">
      <c r="A2" s="121" t="s">
        <v>0</v>
      </c>
      <c r="B2" s="122" t="s">
        <v>1</v>
      </c>
      <c r="C2" s="122" t="s">
        <v>2</v>
      </c>
      <c r="D2" s="123" t="s">
        <v>3</v>
      </c>
      <c r="E2" s="124" t="s">
        <v>73</v>
      </c>
      <c r="F2" s="124"/>
    </row>
    <row r="3" spans="1:6" ht="45.75" customHeight="1">
      <c r="A3" s="121"/>
      <c r="B3" s="122"/>
      <c r="C3" s="122"/>
      <c r="D3" s="123"/>
      <c r="E3" s="33" t="s">
        <v>4</v>
      </c>
      <c r="F3" s="33" t="s">
        <v>5</v>
      </c>
    </row>
    <row r="4" spans="1:6" ht="31.5">
      <c r="A4" s="55">
        <v>1</v>
      </c>
      <c r="B4" s="56" t="s">
        <v>6</v>
      </c>
      <c r="C4" s="55" t="s">
        <v>74</v>
      </c>
      <c r="D4" s="64">
        <v>109525</v>
      </c>
      <c r="E4" s="65">
        <v>0</v>
      </c>
      <c r="F4" s="66">
        <v>109525</v>
      </c>
    </row>
    <row r="5" spans="1:6" ht="28.5" customHeight="1">
      <c r="A5" s="55">
        <v>2</v>
      </c>
      <c r="B5" s="56" t="s">
        <v>7</v>
      </c>
      <c r="C5" s="55" t="s">
        <v>8</v>
      </c>
      <c r="D5" s="64">
        <f>150000*1.9558</f>
        <v>293370</v>
      </c>
      <c r="E5" s="64">
        <f>+D5/2</f>
        <v>146685</v>
      </c>
      <c r="F5" s="64">
        <f>+D5/2</f>
        <v>146685</v>
      </c>
    </row>
    <row r="6" spans="1:6" ht="15.75">
      <c r="A6" s="55">
        <v>3</v>
      </c>
      <c r="B6" s="56" t="s">
        <v>122</v>
      </c>
      <c r="C6" s="55" t="s">
        <v>9</v>
      </c>
      <c r="D6" s="64">
        <f>57650*1.9558</f>
        <v>112751.87</v>
      </c>
      <c r="E6" s="64">
        <f>11530*1.9558</f>
        <v>22550.374</v>
      </c>
      <c r="F6" s="64">
        <f>46120*1.9558</f>
        <v>90201.496</v>
      </c>
    </row>
    <row r="7" spans="1:6" ht="15.75">
      <c r="A7" s="55">
        <v>4</v>
      </c>
      <c r="B7" s="56" t="s">
        <v>10</v>
      </c>
      <c r="C7" s="55" t="s">
        <v>9</v>
      </c>
      <c r="D7" s="64">
        <v>79480.88</v>
      </c>
      <c r="E7" s="64">
        <v>14510.94</v>
      </c>
      <c r="F7" s="64">
        <v>64969.94</v>
      </c>
    </row>
    <row r="8" spans="1:6" ht="31.5">
      <c r="A8" s="55">
        <v>5</v>
      </c>
      <c r="B8" s="56" t="s">
        <v>11</v>
      </c>
      <c r="C8" s="59" t="s">
        <v>12</v>
      </c>
      <c r="D8" s="64">
        <v>205725.76</v>
      </c>
      <c r="E8" s="64">
        <v>30858.86</v>
      </c>
      <c r="F8" s="64">
        <v>174866.9</v>
      </c>
    </row>
    <row r="9" spans="1:6" ht="31.5">
      <c r="A9" s="55">
        <v>6</v>
      </c>
      <c r="B9" s="56" t="s">
        <v>13</v>
      </c>
      <c r="C9" s="60" t="s">
        <v>8</v>
      </c>
      <c r="D9" s="64">
        <v>56128</v>
      </c>
      <c r="E9" s="64">
        <v>28064</v>
      </c>
      <c r="F9" s="64">
        <v>28064</v>
      </c>
    </row>
    <row r="10" spans="1:7" ht="31.5">
      <c r="A10" s="55">
        <v>7</v>
      </c>
      <c r="B10" s="57" t="s">
        <v>88</v>
      </c>
      <c r="C10" s="61" t="s">
        <v>14</v>
      </c>
      <c r="D10" s="67">
        <v>307490.68</v>
      </c>
      <c r="E10" s="67">
        <v>7399</v>
      </c>
      <c r="F10" s="67">
        <f>+D10-E10</f>
        <v>300091.68</v>
      </c>
      <c r="G10" s="30"/>
    </row>
    <row r="11" spans="1:6" ht="47.25">
      <c r="A11" s="55">
        <v>8</v>
      </c>
      <c r="B11" s="56" t="s">
        <v>15</v>
      </c>
      <c r="C11" s="60" t="s">
        <v>16</v>
      </c>
      <c r="D11" s="64">
        <v>111874</v>
      </c>
      <c r="E11" s="64">
        <v>0</v>
      </c>
      <c r="F11" s="64">
        <v>111874</v>
      </c>
    </row>
    <row r="12" spans="1:7" s="3" customFormat="1" ht="18.75" customHeight="1">
      <c r="A12" s="55">
        <v>9</v>
      </c>
      <c r="B12" s="57" t="s">
        <v>32</v>
      </c>
      <c r="C12" s="62" t="s">
        <v>103</v>
      </c>
      <c r="D12" s="68">
        <v>195580</v>
      </c>
      <c r="E12" s="68">
        <v>0</v>
      </c>
      <c r="F12" s="68">
        <v>195580</v>
      </c>
      <c r="G12" s="36"/>
    </row>
    <row r="13" spans="1:7" s="3" customFormat="1" ht="47.25">
      <c r="A13" s="55">
        <v>10</v>
      </c>
      <c r="B13" s="57" t="s">
        <v>36</v>
      </c>
      <c r="C13" s="62" t="s">
        <v>76</v>
      </c>
      <c r="D13" s="68">
        <f>69573*1.9558</f>
        <v>136070.8734</v>
      </c>
      <c r="E13" s="68">
        <v>0</v>
      </c>
      <c r="F13" s="68">
        <v>136070.87</v>
      </c>
      <c r="G13" s="36"/>
    </row>
    <row r="14" spans="1:7" s="3" customFormat="1" ht="31.5">
      <c r="A14" s="55">
        <v>11</v>
      </c>
      <c r="B14" s="57" t="s">
        <v>35</v>
      </c>
      <c r="C14" s="62" t="s">
        <v>74</v>
      </c>
      <c r="D14" s="68">
        <v>130217</v>
      </c>
      <c r="E14" s="68">
        <v>65109</v>
      </c>
      <c r="F14" s="68">
        <v>65108</v>
      </c>
      <c r="G14" s="36"/>
    </row>
    <row r="15" spans="1:6" s="36" customFormat="1" ht="31.5">
      <c r="A15" s="55">
        <v>12</v>
      </c>
      <c r="B15" s="57" t="s">
        <v>34</v>
      </c>
      <c r="C15" s="63" t="s">
        <v>12</v>
      </c>
      <c r="D15" s="69">
        <v>194976</v>
      </c>
      <c r="E15" s="69">
        <v>29246</v>
      </c>
      <c r="F15" s="69">
        <v>165730</v>
      </c>
    </row>
    <row r="16" spans="1:6" s="36" customFormat="1" ht="19.5" customHeight="1">
      <c r="A16" s="55">
        <v>13</v>
      </c>
      <c r="B16" s="57" t="s">
        <v>33</v>
      </c>
      <c r="C16" s="63" t="s">
        <v>12</v>
      </c>
      <c r="D16" s="69">
        <v>229347</v>
      </c>
      <c r="E16" s="69">
        <v>34402</v>
      </c>
      <c r="F16" s="69">
        <v>194945</v>
      </c>
    </row>
    <row r="17" spans="1:7" s="3" customFormat="1" ht="30.75" customHeight="1">
      <c r="A17" s="55">
        <v>14</v>
      </c>
      <c r="B17" s="58" t="s">
        <v>109</v>
      </c>
      <c r="C17" s="62" t="s">
        <v>9</v>
      </c>
      <c r="D17" s="68">
        <f>14000*1.9558</f>
        <v>27381.2</v>
      </c>
      <c r="E17" s="68">
        <f>2800*1.9558</f>
        <v>5476.24</v>
      </c>
      <c r="F17" s="68">
        <f>11200*1.9558</f>
        <v>21904.96</v>
      </c>
      <c r="G17" s="36"/>
    </row>
    <row r="18" spans="1:7" s="3" customFormat="1" ht="31.5">
      <c r="A18" s="55">
        <v>15</v>
      </c>
      <c r="B18" s="58" t="s">
        <v>37</v>
      </c>
      <c r="C18" s="62" t="s">
        <v>38</v>
      </c>
      <c r="D18" s="68">
        <f>25000*1.9558</f>
        <v>48895</v>
      </c>
      <c r="E18" s="68">
        <v>0</v>
      </c>
      <c r="F18" s="68">
        <f>+D18</f>
        <v>48895</v>
      </c>
      <c r="G18" s="36"/>
    </row>
    <row r="19" spans="1:7" s="3" customFormat="1" ht="31.5">
      <c r="A19" s="55">
        <v>16</v>
      </c>
      <c r="B19" s="58" t="s">
        <v>39</v>
      </c>
      <c r="C19" s="62" t="s">
        <v>38</v>
      </c>
      <c r="D19" s="68">
        <f>22500*1.9558</f>
        <v>44005.5</v>
      </c>
      <c r="E19" s="68">
        <v>0</v>
      </c>
      <c r="F19" s="68">
        <f>+D19</f>
        <v>44005.5</v>
      </c>
      <c r="G19" s="36"/>
    </row>
    <row r="20" spans="1:7" s="3" customFormat="1" ht="38.25" customHeight="1">
      <c r="A20" s="55">
        <v>17</v>
      </c>
      <c r="B20" s="58" t="s">
        <v>31</v>
      </c>
      <c r="C20" s="62" t="s">
        <v>77</v>
      </c>
      <c r="D20" s="68">
        <v>198942.02</v>
      </c>
      <c r="E20" s="68">
        <v>49735.51</v>
      </c>
      <c r="F20" s="68">
        <v>149206.51</v>
      </c>
      <c r="G20" s="36"/>
    </row>
    <row r="21" spans="1:7" s="3" customFormat="1" ht="31.5">
      <c r="A21" s="55">
        <v>18</v>
      </c>
      <c r="B21" s="58" t="s">
        <v>40</v>
      </c>
      <c r="C21" s="62" t="s">
        <v>77</v>
      </c>
      <c r="D21" s="68">
        <f>196017*1.9558</f>
        <v>383370.0486</v>
      </c>
      <c r="E21" s="68">
        <f>49004*1.9558</f>
        <v>95842.0232</v>
      </c>
      <c r="F21" s="68">
        <f>+D21-E21</f>
        <v>287528.0254</v>
      </c>
      <c r="G21" s="35"/>
    </row>
    <row r="22" spans="1:7" s="3" customFormat="1" ht="31.5">
      <c r="A22" s="55">
        <v>19</v>
      </c>
      <c r="B22" s="58" t="s">
        <v>41</v>
      </c>
      <c r="C22" s="62" t="s">
        <v>79</v>
      </c>
      <c r="D22" s="68">
        <v>142773</v>
      </c>
      <c r="E22" s="68">
        <v>35693</v>
      </c>
      <c r="F22" s="68">
        <v>107080</v>
      </c>
      <c r="G22" s="36"/>
    </row>
    <row r="23" spans="1:7" s="3" customFormat="1" ht="15.75">
      <c r="A23" s="55">
        <v>20</v>
      </c>
      <c r="B23" s="58" t="s">
        <v>124</v>
      </c>
      <c r="C23" s="62" t="s">
        <v>12</v>
      </c>
      <c r="D23" s="68">
        <f>273826.8*1.9558</f>
        <v>535550.4554399999</v>
      </c>
      <c r="E23" s="68">
        <f>13691.34*1.9558</f>
        <v>26777.522772</v>
      </c>
      <c r="F23" s="68">
        <f>260135.46*1.9558</f>
        <v>508772.932668</v>
      </c>
      <c r="G23" s="35"/>
    </row>
    <row r="24" spans="1:8" s="3" customFormat="1" ht="31.5">
      <c r="A24" s="55">
        <v>21</v>
      </c>
      <c r="B24" s="58" t="s">
        <v>42</v>
      </c>
      <c r="C24" s="62" t="s">
        <v>12</v>
      </c>
      <c r="D24" s="68">
        <f>121265*1.9558</f>
        <v>237170.087</v>
      </c>
      <c r="E24" s="68">
        <f>6036.28*1.9558</f>
        <v>11805.756424</v>
      </c>
      <c r="F24" s="68">
        <f>115228.72*1.9558</f>
        <v>225364.330576</v>
      </c>
      <c r="G24" s="35"/>
      <c r="H24" s="22"/>
    </row>
    <row r="25" spans="1:7" s="3" customFormat="1" ht="15.75">
      <c r="A25" s="55">
        <v>22</v>
      </c>
      <c r="B25" s="58" t="s">
        <v>127</v>
      </c>
      <c r="C25" s="62" t="s">
        <v>12</v>
      </c>
      <c r="D25" s="68">
        <f>123133.1*1.9558</f>
        <v>240823.71698</v>
      </c>
      <c r="E25" s="68">
        <v>12041</v>
      </c>
      <c r="F25" s="68">
        <f>+D25-E25</f>
        <v>228782.71698</v>
      </c>
      <c r="G25" s="35"/>
    </row>
    <row r="26" spans="1:7" s="3" customFormat="1" ht="31.5">
      <c r="A26" s="55">
        <v>23</v>
      </c>
      <c r="B26" s="58" t="s">
        <v>43</v>
      </c>
      <c r="C26" s="62" t="s">
        <v>12</v>
      </c>
      <c r="D26" s="68">
        <v>224271.46</v>
      </c>
      <c r="E26" s="68">
        <v>11213.57</v>
      </c>
      <c r="F26" s="68">
        <v>213057.89</v>
      </c>
      <c r="G26" s="35"/>
    </row>
    <row r="27" spans="1:7" s="3" customFormat="1" ht="31.5">
      <c r="A27" s="55">
        <v>24</v>
      </c>
      <c r="B27" s="58" t="s">
        <v>82</v>
      </c>
      <c r="C27" s="62" t="s">
        <v>12</v>
      </c>
      <c r="D27" s="68">
        <f>99779.26*1.9558</f>
        <v>195148.276708</v>
      </c>
      <c r="E27" s="68">
        <f>4988*1.9588</f>
        <v>9770.4944</v>
      </c>
      <c r="F27" s="68">
        <f>+D27-E27</f>
        <v>185377.782308</v>
      </c>
      <c r="G27" s="36"/>
    </row>
    <row r="28" spans="1:7" s="3" customFormat="1" ht="37.5" customHeight="1">
      <c r="A28" s="55">
        <v>25</v>
      </c>
      <c r="B28" s="58" t="s">
        <v>44</v>
      </c>
      <c r="C28" s="62" t="s">
        <v>12</v>
      </c>
      <c r="D28" s="68">
        <v>222339.09</v>
      </c>
      <c r="E28" s="68">
        <v>11116.87</v>
      </c>
      <c r="F28" s="68">
        <f>+D28-E28</f>
        <v>211222.22</v>
      </c>
      <c r="G28" s="35"/>
    </row>
    <row r="29" spans="1:7" s="3" customFormat="1" ht="19.5" customHeight="1">
      <c r="A29" s="55">
        <v>26</v>
      </c>
      <c r="B29" s="58" t="s">
        <v>128</v>
      </c>
      <c r="C29" s="62" t="s">
        <v>12</v>
      </c>
      <c r="D29" s="68">
        <v>225748</v>
      </c>
      <c r="E29" s="68">
        <v>11287</v>
      </c>
      <c r="F29" s="68">
        <f>+D29-E29</f>
        <v>214461</v>
      </c>
      <c r="G29" s="36"/>
    </row>
    <row r="30" spans="1:7" s="3" customFormat="1" ht="22.5" customHeight="1">
      <c r="A30" s="55">
        <v>27</v>
      </c>
      <c r="B30" s="58" t="s">
        <v>45</v>
      </c>
      <c r="C30" s="62" t="s">
        <v>12</v>
      </c>
      <c r="D30" s="68">
        <v>411738.92</v>
      </c>
      <c r="E30" s="80">
        <v>20586.95</v>
      </c>
      <c r="F30" s="81">
        <f>+D30-E30</f>
        <v>391151.97</v>
      </c>
      <c r="G30" s="36"/>
    </row>
    <row r="31" spans="1:18" s="3" customFormat="1" ht="31.5">
      <c r="A31" s="55">
        <v>28</v>
      </c>
      <c r="B31" s="58" t="s">
        <v>83</v>
      </c>
      <c r="C31" s="62" t="s">
        <v>12</v>
      </c>
      <c r="D31" s="68">
        <v>136280.15</v>
      </c>
      <c r="E31" s="68">
        <v>0</v>
      </c>
      <c r="F31" s="68">
        <v>136280.15</v>
      </c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3" customFormat="1" ht="31.5">
      <c r="A32" s="55">
        <v>29</v>
      </c>
      <c r="B32" s="58" t="s">
        <v>84</v>
      </c>
      <c r="C32" s="62" t="s">
        <v>12</v>
      </c>
      <c r="D32" s="68">
        <v>138470.64</v>
      </c>
      <c r="E32" s="68">
        <v>0</v>
      </c>
      <c r="F32" s="68">
        <v>138470.64</v>
      </c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6" s="3" customFormat="1" ht="33" customHeight="1">
      <c r="A33" s="55">
        <v>30</v>
      </c>
      <c r="B33" s="78" t="s">
        <v>123</v>
      </c>
      <c r="C33" s="46" t="s">
        <v>103</v>
      </c>
      <c r="D33" s="69">
        <v>205687.14</v>
      </c>
      <c r="E33" s="69">
        <v>0</v>
      </c>
      <c r="F33" s="69">
        <v>205687.14</v>
      </c>
    </row>
    <row r="34" spans="1:6" s="3" customFormat="1" ht="32.25" customHeight="1">
      <c r="A34" s="55">
        <v>31</v>
      </c>
      <c r="B34" s="78" t="s">
        <v>125</v>
      </c>
      <c r="C34" s="46" t="s">
        <v>103</v>
      </c>
      <c r="D34" s="69">
        <f>291600*1.9558</f>
        <v>570311.28</v>
      </c>
      <c r="E34" s="69">
        <v>0</v>
      </c>
      <c r="F34" s="69">
        <f>+D34</f>
        <v>570311.28</v>
      </c>
    </row>
    <row r="35" spans="1:7" s="3" customFormat="1" ht="20.25" customHeight="1">
      <c r="A35" s="55">
        <v>32</v>
      </c>
      <c r="B35" s="58" t="s">
        <v>113</v>
      </c>
      <c r="C35" s="62" t="s">
        <v>78</v>
      </c>
      <c r="D35" s="68">
        <v>460590</v>
      </c>
      <c r="E35" s="68">
        <v>0</v>
      </c>
      <c r="F35" s="68">
        <f>+D35</f>
        <v>460590</v>
      </c>
      <c r="G35" s="36"/>
    </row>
    <row r="36" spans="1:6" s="3" customFormat="1" ht="45.75" customHeight="1">
      <c r="A36" s="55">
        <v>33</v>
      </c>
      <c r="B36" s="75" t="s">
        <v>116</v>
      </c>
      <c r="C36" s="46" t="s">
        <v>103</v>
      </c>
      <c r="D36" s="69">
        <f>170620*1.9558</f>
        <v>333698.596</v>
      </c>
      <c r="E36" s="69">
        <v>0</v>
      </c>
      <c r="F36" s="69">
        <f>+D36</f>
        <v>333698.596</v>
      </c>
    </row>
    <row r="37" spans="1:6" ht="23.25" customHeight="1">
      <c r="A37" s="181" t="s">
        <v>193</v>
      </c>
      <c r="B37" s="181"/>
      <c r="C37" s="182"/>
      <c r="D37" s="183">
        <f>SUM(D4:D36)</f>
        <v>7145731.644128</v>
      </c>
      <c r="E37" s="183">
        <f>SUM(E4:E36)</f>
        <v>680171.110796</v>
      </c>
      <c r="F37" s="183">
        <f>+D37-E37</f>
        <v>6465560.5333320005</v>
      </c>
    </row>
    <row r="41" spans="3:6" ht="12.75">
      <c r="C41" s="48"/>
      <c r="D41" s="48"/>
      <c r="E41" s="48"/>
      <c r="F41" s="37"/>
    </row>
    <row r="42" spans="3:5" ht="12.75">
      <c r="C42" s="48"/>
      <c r="D42" s="48"/>
      <c r="E42" s="48"/>
    </row>
    <row r="43" spans="3:5" ht="12.75">
      <c r="C43" s="48"/>
      <c r="D43" s="48"/>
      <c r="E43" s="48"/>
    </row>
    <row r="46" spans="3:5" ht="12.75">
      <c r="C46" s="48"/>
      <c r="D46" s="48"/>
      <c r="E46" s="48"/>
    </row>
  </sheetData>
  <sheetProtection formatCells="0" formatColumns="0" formatRows="0" insertColumns="0" insertRows="0" deleteColumns="0" deleteRows="0"/>
  <mergeCells count="7">
    <mergeCell ref="A37:B37"/>
    <mergeCell ref="A1:F1"/>
    <mergeCell ref="A2:A3"/>
    <mergeCell ref="B2:B3"/>
    <mergeCell ref="C2:C3"/>
    <mergeCell ref="D2:D3"/>
    <mergeCell ref="E2:F2"/>
  </mergeCells>
  <printOptions/>
  <pageMargins left="0.7874015748031497" right="0.39" top="0.51" bottom="0.37" header="0" footer="0"/>
  <pageSetup horizontalDpi="600" verticalDpi="600" orientation="portrait" scale="60" r:id="rId1"/>
  <headerFooter alignWithMargins="0"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6.421875" style="23" bestFit="1" customWidth="1"/>
    <col min="2" max="2" width="62.28125" style="0" customWidth="1"/>
    <col min="3" max="3" width="27.00390625" style="0" customWidth="1"/>
    <col min="4" max="4" width="31.421875" style="0" customWidth="1"/>
    <col min="5" max="5" width="33.00390625" style="0" customWidth="1"/>
    <col min="6" max="6" width="15.421875" style="0" bestFit="1" customWidth="1"/>
  </cols>
  <sheetData>
    <row r="1" spans="1:5" s="1" customFormat="1" ht="42.75" customHeight="1">
      <c r="A1" s="144" t="s">
        <v>181</v>
      </c>
      <c r="B1" s="144"/>
      <c r="C1" s="144"/>
      <c r="D1" s="144"/>
      <c r="E1" s="144"/>
    </row>
    <row r="2" spans="1:5" s="19" customFormat="1" ht="27" customHeight="1">
      <c r="A2" s="141" t="s">
        <v>0</v>
      </c>
      <c r="B2" s="128" t="s">
        <v>1</v>
      </c>
      <c r="C2" s="143" t="s">
        <v>67</v>
      </c>
      <c r="D2" s="143" t="s">
        <v>73</v>
      </c>
      <c r="E2" s="143"/>
    </row>
    <row r="3" spans="1:5" s="19" customFormat="1" ht="27" customHeight="1">
      <c r="A3" s="142"/>
      <c r="B3" s="128"/>
      <c r="C3" s="143"/>
      <c r="D3" s="20" t="s">
        <v>68</v>
      </c>
      <c r="E3" s="20" t="s">
        <v>5</v>
      </c>
    </row>
    <row r="4" spans="1:5" s="4" customFormat="1" ht="30.75" customHeight="1">
      <c r="A4" s="145" t="s">
        <v>81</v>
      </c>
      <c r="B4" s="146"/>
      <c r="C4" s="146"/>
      <c r="D4" s="146"/>
      <c r="E4" s="147"/>
    </row>
    <row r="5" spans="1:5" s="3" customFormat="1" ht="25.5" customHeight="1">
      <c r="A5" s="156" t="s">
        <v>17</v>
      </c>
      <c r="B5" s="157"/>
      <c r="C5" s="157"/>
      <c r="D5" s="157"/>
      <c r="E5" s="158"/>
    </row>
    <row r="6" spans="1:5" s="38" customFormat="1" ht="51.75" customHeight="1">
      <c r="A6" s="96">
        <v>1</v>
      </c>
      <c r="B6" s="21" t="s">
        <v>134</v>
      </c>
      <c r="C6" s="69">
        <v>5000000</v>
      </c>
      <c r="D6" s="87">
        <v>0</v>
      </c>
      <c r="E6" s="69">
        <v>5000000</v>
      </c>
    </row>
    <row r="7" spans="1:6" ht="30" customHeight="1">
      <c r="A7" s="154" t="s">
        <v>133</v>
      </c>
      <c r="B7" s="155"/>
      <c r="C7" s="150">
        <f>+C6</f>
        <v>5000000</v>
      </c>
      <c r="D7" s="150">
        <f>+D6</f>
        <v>0</v>
      </c>
      <c r="E7" s="150">
        <f>+E6</f>
        <v>5000000</v>
      </c>
      <c r="F7" s="24"/>
    </row>
    <row r="8" ht="12.75">
      <c r="C8" s="24"/>
    </row>
    <row r="9" spans="2:6" ht="20.25">
      <c r="B9" s="49"/>
      <c r="C9" s="24"/>
      <c r="D9" s="24"/>
      <c r="E9" s="24"/>
      <c r="F9" s="24"/>
    </row>
    <row r="10" ht="20.25">
      <c r="B10" s="49"/>
    </row>
    <row r="11" ht="20.25">
      <c r="B11" s="49"/>
    </row>
    <row r="12" ht="12.75">
      <c r="C12" s="89"/>
    </row>
    <row r="13" ht="12.75">
      <c r="C13" s="89"/>
    </row>
    <row r="14" ht="12.75">
      <c r="C14" s="89"/>
    </row>
  </sheetData>
  <sheetProtection formatCells="0" formatColumns="0" formatRows="0" insertColumns="0" insertRows="0" insertHyperlinks="0" deleteColumns="0" deleteRows="0" sort="0"/>
  <mergeCells count="8">
    <mergeCell ref="A7:B7"/>
    <mergeCell ref="A4:E4"/>
    <mergeCell ref="A1:E1"/>
    <mergeCell ref="A2:A3"/>
    <mergeCell ref="B2:B3"/>
    <mergeCell ref="C2:C3"/>
    <mergeCell ref="D2:E2"/>
    <mergeCell ref="A5:E5"/>
  </mergeCells>
  <printOptions/>
  <pageMargins left="0.75" right="0.75" top="1" bottom="1" header="0.5" footer="0.5"/>
  <pageSetup horizontalDpi="600" verticalDpi="600" orientation="portrait" scale="54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6.421875" style="23" bestFit="1" customWidth="1"/>
    <col min="2" max="2" width="60.8515625" style="0" customWidth="1"/>
    <col min="3" max="3" width="27.00390625" style="0" customWidth="1"/>
    <col min="4" max="4" width="31.421875" style="0" customWidth="1"/>
    <col min="5" max="5" width="33.00390625" style="0" customWidth="1"/>
    <col min="6" max="6" width="14.28125" style="0" bestFit="1" customWidth="1"/>
  </cols>
  <sheetData>
    <row r="1" spans="1:5" s="1" customFormat="1" ht="45.75" customHeight="1">
      <c r="A1" s="144" t="s">
        <v>173</v>
      </c>
      <c r="B1" s="144"/>
      <c r="C1" s="144"/>
      <c r="D1" s="144"/>
      <c r="E1" s="144"/>
    </row>
    <row r="2" spans="1:5" s="19" customFormat="1" ht="29.25" customHeight="1">
      <c r="A2" s="141" t="s">
        <v>0</v>
      </c>
      <c r="B2" s="128" t="s">
        <v>1</v>
      </c>
      <c r="C2" s="143" t="s">
        <v>67</v>
      </c>
      <c r="D2" s="143" t="s">
        <v>73</v>
      </c>
      <c r="E2" s="143"/>
    </row>
    <row r="3" spans="1:5" s="19" customFormat="1" ht="27.75" customHeight="1">
      <c r="A3" s="142"/>
      <c r="B3" s="128"/>
      <c r="C3" s="143"/>
      <c r="D3" s="20" t="s">
        <v>68</v>
      </c>
      <c r="E3" s="20" t="s">
        <v>5</v>
      </c>
    </row>
    <row r="4" spans="1:5" s="4" customFormat="1" ht="27.75" customHeight="1">
      <c r="A4" s="145" t="s">
        <v>81</v>
      </c>
      <c r="B4" s="146"/>
      <c r="C4" s="146"/>
      <c r="D4" s="146"/>
      <c r="E4" s="147"/>
    </row>
    <row r="5" spans="1:6" ht="24" customHeight="1">
      <c r="A5" s="151" t="s">
        <v>171</v>
      </c>
      <c r="B5" s="152"/>
      <c r="C5" s="152"/>
      <c r="D5" s="152"/>
      <c r="E5" s="153"/>
      <c r="F5" s="24"/>
    </row>
    <row r="6" spans="1:6" ht="47.25" customHeight="1">
      <c r="A6" s="116">
        <v>1</v>
      </c>
      <c r="B6" s="83" t="s">
        <v>186</v>
      </c>
      <c r="C6" s="82">
        <v>1466522.74</v>
      </c>
      <c r="D6" s="69">
        <v>0</v>
      </c>
      <c r="E6" s="82">
        <v>1466522.74</v>
      </c>
      <c r="F6" s="24"/>
    </row>
    <row r="7" spans="1:6" ht="51.75" customHeight="1">
      <c r="A7" s="116">
        <v>2</v>
      </c>
      <c r="B7" s="83" t="s">
        <v>188</v>
      </c>
      <c r="C7" s="82">
        <v>2933742.34</v>
      </c>
      <c r="D7" s="69">
        <v>0</v>
      </c>
      <c r="E7" s="82">
        <v>2933742.34</v>
      </c>
      <c r="F7" s="24"/>
    </row>
    <row r="8" spans="1:6" ht="84.75" customHeight="1">
      <c r="A8" s="116">
        <v>3</v>
      </c>
      <c r="B8" s="120" t="s">
        <v>183</v>
      </c>
      <c r="C8" s="82">
        <v>943693.92</v>
      </c>
      <c r="D8" s="69">
        <v>0</v>
      </c>
      <c r="E8" s="82">
        <v>943693.92</v>
      </c>
      <c r="F8" s="24"/>
    </row>
    <row r="9" spans="1:6" ht="39.75" customHeight="1">
      <c r="A9" s="116">
        <v>4</v>
      </c>
      <c r="B9" s="120" t="s">
        <v>187</v>
      </c>
      <c r="C9" s="82">
        <v>1000000</v>
      </c>
      <c r="D9" s="69">
        <v>0</v>
      </c>
      <c r="E9" s="82">
        <v>1000000</v>
      </c>
      <c r="F9" s="24"/>
    </row>
    <row r="10" spans="1:6" ht="37.5" customHeight="1">
      <c r="A10" s="116">
        <v>5</v>
      </c>
      <c r="B10" s="83" t="s">
        <v>189</v>
      </c>
      <c r="C10" s="82">
        <v>453581</v>
      </c>
      <c r="D10" s="69">
        <v>0</v>
      </c>
      <c r="E10" s="82">
        <v>453581</v>
      </c>
      <c r="F10" s="24"/>
    </row>
    <row r="11" spans="1:6" ht="32.25" customHeight="1">
      <c r="A11" s="134" t="s">
        <v>172</v>
      </c>
      <c r="B11" s="135"/>
      <c r="C11" s="88">
        <f>C6+C7+C8+C9+C10</f>
        <v>6797540</v>
      </c>
      <c r="D11" s="88">
        <f>SUM(D6:D10)</f>
        <v>0</v>
      </c>
      <c r="E11" s="88">
        <f>E6+E7+E8+E9+E10</f>
        <v>6797540</v>
      </c>
      <c r="F11" s="24"/>
    </row>
    <row r="12" spans="1:5" s="4" customFormat="1" ht="39" customHeight="1">
      <c r="A12" s="154" t="s">
        <v>185</v>
      </c>
      <c r="B12" s="155"/>
      <c r="C12" s="150">
        <f>C11</f>
        <v>6797540</v>
      </c>
      <c r="D12" s="150">
        <f>D6+D7+D8+D9+D10+D11</f>
        <v>0</v>
      </c>
      <c r="E12" s="150">
        <f>E6+E7+E8+E9+E10</f>
        <v>6797540</v>
      </c>
    </row>
    <row r="13" spans="1:6" s="34" customFormat="1" ht="16.5" customHeight="1">
      <c r="A13" s="23"/>
      <c r="B13"/>
      <c r="C13" s="24"/>
      <c r="D13" s="24"/>
      <c r="E13" s="24"/>
      <c r="F13" s="45"/>
    </row>
    <row r="14" spans="5:6" ht="12.75">
      <c r="E14" s="24"/>
      <c r="F14" s="24"/>
    </row>
  </sheetData>
  <sheetProtection/>
  <mergeCells count="9">
    <mergeCell ref="A5:E5"/>
    <mergeCell ref="A11:B11"/>
    <mergeCell ref="A12:B12"/>
    <mergeCell ref="A1:E1"/>
    <mergeCell ref="A2:A3"/>
    <mergeCell ref="B2:B3"/>
    <mergeCell ref="C2:C3"/>
    <mergeCell ref="D2:E2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6.421875" style="23" bestFit="1" customWidth="1"/>
    <col min="2" max="2" width="60.8515625" style="0" customWidth="1"/>
    <col min="3" max="3" width="27.00390625" style="0" customWidth="1"/>
    <col min="4" max="4" width="31.421875" style="0" customWidth="1"/>
    <col min="5" max="5" width="33.00390625" style="0" customWidth="1"/>
    <col min="6" max="6" width="14.28125" style="0" bestFit="1" customWidth="1"/>
  </cols>
  <sheetData>
    <row r="1" spans="1:5" s="1" customFormat="1" ht="45.75" customHeight="1">
      <c r="A1" s="144" t="s">
        <v>174</v>
      </c>
      <c r="B1" s="144"/>
      <c r="C1" s="144"/>
      <c r="D1" s="144"/>
      <c r="E1" s="144"/>
    </row>
    <row r="2" spans="1:5" s="19" customFormat="1" ht="29.25" customHeight="1">
      <c r="A2" s="141" t="s">
        <v>0</v>
      </c>
      <c r="B2" s="128" t="s">
        <v>1</v>
      </c>
      <c r="C2" s="143" t="s">
        <v>67</v>
      </c>
      <c r="D2" s="143" t="s">
        <v>73</v>
      </c>
      <c r="E2" s="143"/>
    </row>
    <row r="3" spans="1:5" s="19" customFormat="1" ht="27.75" customHeight="1">
      <c r="A3" s="142"/>
      <c r="B3" s="128"/>
      <c r="C3" s="143"/>
      <c r="D3" s="20" t="s">
        <v>68</v>
      </c>
      <c r="E3" s="20" t="s">
        <v>5</v>
      </c>
    </row>
    <row r="4" spans="1:5" s="4" customFormat="1" ht="27.75" customHeight="1">
      <c r="A4" s="145" t="s">
        <v>81</v>
      </c>
      <c r="B4" s="146"/>
      <c r="C4" s="146"/>
      <c r="D4" s="146"/>
      <c r="E4" s="147"/>
    </row>
    <row r="5" spans="1:5" ht="26.25" customHeight="1">
      <c r="A5" s="151" t="s">
        <v>166</v>
      </c>
      <c r="B5" s="152"/>
      <c r="C5" s="152"/>
      <c r="D5" s="152"/>
      <c r="E5" s="153"/>
    </row>
    <row r="6" spans="1:6" ht="41.25" customHeight="1">
      <c r="A6" s="116">
        <v>1</v>
      </c>
      <c r="B6" s="117" t="s">
        <v>167</v>
      </c>
      <c r="C6" s="118">
        <v>594138.08</v>
      </c>
      <c r="D6" s="118">
        <v>89120.71</v>
      </c>
      <c r="E6" s="118">
        <v>505017.37</v>
      </c>
      <c r="F6" s="24"/>
    </row>
    <row r="7" spans="1:6" ht="45" customHeight="1">
      <c r="A7" s="116">
        <v>2</v>
      </c>
      <c r="B7" s="117" t="s">
        <v>168</v>
      </c>
      <c r="C7" s="118">
        <v>421219.98</v>
      </c>
      <c r="D7" s="118">
        <v>63183</v>
      </c>
      <c r="E7" s="118">
        <v>358036.98</v>
      </c>
      <c r="F7" s="24"/>
    </row>
    <row r="8" spans="1:6" ht="39" customHeight="1">
      <c r="A8" s="116">
        <v>3</v>
      </c>
      <c r="B8" s="117" t="s">
        <v>169</v>
      </c>
      <c r="C8" s="118">
        <v>465456.45</v>
      </c>
      <c r="D8" s="118">
        <v>69818.47</v>
      </c>
      <c r="E8" s="118">
        <v>395637.98</v>
      </c>
      <c r="F8" s="119"/>
    </row>
    <row r="9" spans="1:6" ht="24" customHeight="1">
      <c r="A9" s="140" t="s">
        <v>170</v>
      </c>
      <c r="B9" s="140"/>
      <c r="C9" s="84">
        <f>SUM(C6:C8)</f>
        <v>1480814.51</v>
      </c>
      <c r="D9" s="84">
        <f>SUM(D6:D8)</f>
        <v>222122.18000000002</v>
      </c>
      <c r="E9" s="84">
        <f>SUM(E6:E8)</f>
        <v>1258692.33</v>
      </c>
      <c r="F9" s="24"/>
    </row>
    <row r="10" spans="1:5" s="4" customFormat="1" ht="39" customHeight="1">
      <c r="A10" s="148" t="s">
        <v>175</v>
      </c>
      <c r="B10" s="149"/>
      <c r="C10" s="150">
        <f>C9</f>
        <v>1480814.51</v>
      </c>
      <c r="D10" s="150">
        <f>D9</f>
        <v>222122.18000000002</v>
      </c>
      <c r="E10" s="150">
        <f>E9</f>
        <v>1258692.33</v>
      </c>
    </row>
    <row r="11" spans="1:6" s="34" customFormat="1" ht="12" customHeight="1">
      <c r="A11" s="23"/>
      <c r="B11"/>
      <c r="C11" s="24"/>
      <c r="D11" s="24"/>
      <c r="E11" s="24"/>
      <c r="F11" s="45"/>
    </row>
    <row r="12" spans="5:6" ht="12.75">
      <c r="E12" s="24"/>
      <c r="F12" s="24"/>
    </row>
    <row r="19" ht="12.75">
      <c r="C19" s="24"/>
    </row>
  </sheetData>
  <sheetProtection/>
  <mergeCells count="9">
    <mergeCell ref="A5:E5"/>
    <mergeCell ref="A9:B9"/>
    <mergeCell ref="A10:B10"/>
    <mergeCell ref="A1:E1"/>
    <mergeCell ref="A2:A3"/>
    <mergeCell ref="B2:B3"/>
    <mergeCell ref="C2:C3"/>
    <mergeCell ref="D2:E2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75" zoomScalePageLayoutView="0" workbookViewId="0" topLeftCell="A1">
      <selection activeCell="F44" sqref="F44"/>
    </sheetView>
  </sheetViews>
  <sheetFormatPr defaultColWidth="9.140625" defaultRowHeight="12.75"/>
  <cols>
    <col min="1" max="1" width="6.8515625" style="1" bestFit="1" customWidth="1"/>
    <col min="2" max="2" width="74.140625" style="1" customWidth="1"/>
    <col min="3" max="3" width="21.8515625" style="27" customWidth="1"/>
    <col min="4" max="4" width="22.140625" style="28" customWidth="1"/>
    <col min="5" max="5" width="20.421875" style="28" customWidth="1"/>
    <col min="6" max="7" width="18.00390625" style="34" bestFit="1" customWidth="1"/>
    <col min="8" max="12" width="9.140625" style="34" customWidth="1"/>
    <col min="13" max="16384" width="9.140625" style="1" customWidth="1"/>
  </cols>
  <sheetData>
    <row r="1" spans="1:5" ht="47.25" customHeight="1">
      <c r="A1" s="164" t="s">
        <v>177</v>
      </c>
      <c r="B1" s="164"/>
      <c r="C1" s="164"/>
      <c r="D1" s="164"/>
      <c r="E1" s="164"/>
    </row>
    <row r="2" spans="1:5" ht="39" customHeight="1">
      <c r="A2" s="128" t="s">
        <v>0</v>
      </c>
      <c r="B2" s="128" t="s">
        <v>1</v>
      </c>
      <c r="C2" s="129" t="s">
        <v>3</v>
      </c>
      <c r="D2" s="129" t="s">
        <v>73</v>
      </c>
      <c r="E2" s="129"/>
    </row>
    <row r="3" spans="1:5" ht="45.75" customHeight="1">
      <c r="A3" s="128"/>
      <c r="B3" s="128"/>
      <c r="C3" s="129"/>
      <c r="D3" s="26" t="s">
        <v>4</v>
      </c>
      <c r="E3" s="26" t="s">
        <v>5</v>
      </c>
    </row>
    <row r="4" spans="1:12" s="3" customFormat="1" ht="26.25" customHeight="1">
      <c r="A4" s="156" t="s">
        <v>17</v>
      </c>
      <c r="B4" s="157"/>
      <c r="C4" s="157"/>
      <c r="D4" s="157"/>
      <c r="E4" s="158"/>
      <c r="F4" s="36"/>
      <c r="G4" s="36"/>
      <c r="H4" s="36"/>
      <c r="I4" s="36"/>
      <c r="J4" s="36"/>
      <c r="K4" s="36"/>
      <c r="L4" s="36"/>
    </row>
    <row r="5" spans="1:5" s="38" customFormat="1" ht="47.25">
      <c r="A5" s="71">
        <v>1</v>
      </c>
      <c r="B5" s="57" t="s">
        <v>85</v>
      </c>
      <c r="C5" s="69">
        <v>233928</v>
      </c>
      <c r="D5" s="69">
        <v>0</v>
      </c>
      <c r="E5" s="69">
        <v>233928</v>
      </c>
    </row>
    <row r="6" spans="1:6" s="38" customFormat="1" ht="79.5" customHeight="1">
      <c r="A6" s="71">
        <v>2</v>
      </c>
      <c r="B6" s="57" t="s">
        <v>94</v>
      </c>
      <c r="C6" s="69">
        <v>5998817.05</v>
      </c>
      <c r="D6" s="69">
        <v>23419.05</v>
      </c>
      <c r="E6" s="69">
        <v>5975398</v>
      </c>
      <c r="F6" s="39"/>
    </row>
    <row r="7" spans="1:5" s="38" customFormat="1" ht="31.5">
      <c r="A7" s="71">
        <v>3</v>
      </c>
      <c r="B7" s="57" t="s">
        <v>18</v>
      </c>
      <c r="C7" s="69">
        <v>518147</v>
      </c>
      <c r="D7" s="69">
        <v>0</v>
      </c>
      <c r="E7" s="69">
        <v>518147</v>
      </c>
    </row>
    <row r="8" spans="1:5" s="38" customFormat="1" ht="78.75">
      <c r="A8" s="71">
        <v>4</v>
      </c>
      <c r="B8" s="57" t="s">
        <v>46</v>
      </c>
      <c r="C8" s="69">
        <v>5646820</v>
      </c>
      <c r="D8" s="69">
        <v>2654915</v>
      </c>
      <c r="E8" s="69">
        <v>2991905</v>
      </c>
    </row>
    <row r="9" spans="1:5" s="38" customFormat="1" ht="47.25">
      <c r="A9" s="71">
        <v>5</v>
      </c>
      <c r="B9" s="57" t="s">
        <v>47</v>
      </c>
      <c r="C9" s="98">
        <v>1249906.51</v>
      </c>
      <c r="D9" s="69">
        <v>215101.21</v>
      </c>
      <c r="E9" s="69">
        <v>1034805.3</v>
      </c>
    </row>
    <row r="10" spans="1:5" s="38" customFormat="1" ht="31.5">
      <c r="A10" s="71">
        <v>6</v>
      </c>
      <c r="B10" s="57" t="s">
        <v>89</v>
      </c>
      <c r="C10" s="69">
        <v>708889</v>
      </c>
      <c r="D10" s="69">
        <v>0</v>
      </c>
      <c r="E10" s="69">
        <v>708889</v>
      </c>
    </row>
    <row r="11" spans="1:5" s="38" customFormat="1" ht="31.5">
      <c r="A11" s="99">
        <v>7</v>
      </c>
      <c r="B11" s="57" t="s">
        <v>119</v>
      </c>
      <c r="C11" s="69">
        <v>960660</v>
      </c>
      <c r="D11" s="69">
        <v>48033</v>
      </c>
      <c r="E11" s="69">
        <v>912627</v>
      </c>
    </row>
    <row r="12" spans="1:5" s="38" customFormat="1" ht="31.5">
      <c r="A12" s="71">
        <v>8</v>
      </c>
      <c r="B12" s="57" t="s">
        <v>96</v>
      </c>
      <c r="C12" s="69">
        <v>5864547.42</v>
      </c>
      <c r="D12" s="69">
        <v>301567.73</v>
      </c>
      <c r="E12" s="82">
        <v>5562979.69</v>
      </c>
    </row>
    <row r="13" spans="1:5" s="38" customFormat="1" ht="63">
      <c r="A13" s="70">
        <v>9</v>
      </c>
      <c r="B13" s="58" t="s">
        <v>49</v>
      </c>
      <c r="C13" s="68">
        <v>9758867.24</v>
      </c>
      <c r="D13" s="68">
        <v>0</v>
      </c>
      <c r="E13" s="68">
        <v>9758867.24</v>
      </c>
    </row>
    <row r="14" spans="1:5" s="38" customFormat="1" ht="31.5">
      <c r="A14" s="70">
        <v>10</v>
      </c>
      <c r="B14" s="83" t="s">
        <v>117</v>
      </c>
      <c r="C14" s="69">
        <v>496220</v>
      </c>
      <c r="D14" s="69">
        <v>37351</v>
      </c>
      <c r="E14" s="69">
        <v>458869</v>
      </c>
    </row>
    <row r="15" spans="1:12" s="16" customFormat="1" ht="18.75">
      <c r="A15" s="132" t="s">
        <v>19</v>
      </c>
      <c r="B15" s="133"/>
      <c r="C15" s="97">
        <f>SUM(C5:C14)</f>
        <v>31436802.22</v>
      </c>
      <c r="D15" s="97">
        <f>SUM(D5:D14)</f>
        <v>3280386.9899999998</v>
      </c>
      <c r="E15" s="97">
        <f>SUM(E5:E14)</f>
        <v>28156415.230000004</v>
      </c>
      <c r="F15" s="44"/>
      <c r="G15" s="40"/>
      <c r="H15" s="40"/>
      <c r="I15" s="40"/>
      <c r="J15" s="40"/>
      <c r="K15" s="40"/>
      <c r="L15" s="40"/>
    </row>
    <row r="16" spans="1:12" s="5" customFormat="1" ht="24.75" customHeight="1">
      <c r="A16" s="151" t="s">
        <v>20</v>
      </c>
      <c r="B16" s="152"/>
      <c r="C16" s="152"/>
      <c r="D16" s="152"/>
      <c r="E16" s="153"/>
      <c r="F16" s="41"/>
      <c r="G16" s="41"/>
      <c r="H16" s="41"/>
      <c r="I16" s="41"/>
      <c r="J16" s="41"/>
      <c r="K16" s="41"/>
      <c r="L16" s="41"/>
    </row>
    <row r="17" spans="1:5" s="42" customFormat="1" ht="78.75">
      <c r="A17" s="71">
        <v>1</v>
      </c>
      <c r="B17" s="57" t="s">
        <v>95</v>
      </c>
      <c r="C17" s="72">
        <v>862349</v>
      </c>
      <c r="D17" s="72">
        <v>202349</v>
      </c>
      <c r="E17" s="73">
        <f>C17-D17</f>
        <v>660000</v>
      </c>
    </row>
    <row r="18" spans="1:12" s="6" customFormat="1" ht="31.5">
      <c r="A18" s="70">
        <v>2</v>
      </c>
      <c r="B18" s="58" t="s">
        <v>86</v>
      </c>
      <c r="C18" s="74">
        <v>233100</v>
      </c>
      <c r="D18" s="74">
        <v>0</v>
      </c>
      <c r="E18" s="74">
        <v>233100</v>
      </c>
      <c r="F18" s="42"/>
      <c r="G18" s="42"/>
      <c r="H18" s="42"/>
      <c r="I18" s="42"/>
      <c r="J18" s="42"/>
      <c r="K18" s="42"/>
      <c r="L18" s="42"/>
    </row>
    <row r="19" spans="1:5" s="42" customFormat="1" ht="31.5">
      <c r="A19" s="71">
        <v>3</v>
      </c>
      <c r="B19" s="83" t="s">
        <v>52</v>
      </c>
      <c r="C19" s="69">
        <v>10678500</v>
      </c>
      <c r="D19" s="69">
        <v>117463</v>
      </c>
      <c r="E19" s="69">
        <v>10561037</v>
      </c>
    </row>
    <row r="20" spans="1:5" s="42" customFormat="1" ht="47.25">
      <c r="A20" s="70">
        <v>4</v>
      </c>
      <c r="B20" s="58" t="s">
        <v>53</v>
      </c>
      <c r="C20" s="68">
        <v>3949305.3</v>
      </c>
      <c r="D20" s="68">
        <v>1199557.24</v>
      </c>
      <c r="E20" s="76">
        <v>2749748.06</v>
      </c>
    </row>
    <row r="21" spans="1:9" s="4" customFormat="1" ht="31.5">
      <c r="A21" s="71">
        <v>5</v>
      </c>
      <c r="B21" s="75" t="s">
        <v>102</v>
      </c>
      <c r="C21" s="69">
        <v>2502929.67</v>
      </c>
      <c r="D21" s="69">
        <v>590301.34</v>
      </c>
      <c r="E21" s="69">
        <v>1912628.33</v>
      </c>
      <c r="F21" s="9"/>
      <c r="G21" s="9"/>
      <c r="H21" s="9"/>
      <c r="I21" s="9"/>
    </row>
    <row r="22" spans="1:9" s="4" customFormat="1" ht="51.75" customHeight="1">
      <c r="A22" s="70">
        <v>6</v>
      </c>
      <c r="B22" s="83" t="s">
        <v>194</v>
      </c>
      <c r="C22" s="69">
        <v>80173250</v>
      </c>
      <c r="D22" s="69">
        <v>0</v>
      </c>
      <c r="E22" s="69">
        <f>+C22-D22</f>
        <v>80173250</v>
      </c>
      <c r="F22" s="9"/>
      <c r="G22" s="9"/>
      <c r="H22" s="9"/>
      <c r="I22" s="9"/>
    </row>
    <row r="23" spans="1:12" s="16" customFormat="1" ht="18.75">
      <c r="A23" s="125" t="s">
        <v>21</v>
      </c>
      <c r="B23" s="126"/>
      <c r="C23" s="15">
        <f>SUM(C17:C22)</f>
        <v>98399433.97</v>
      </c>
      <c r="D23" s="15">
        <f>SUM(D17:D22)</f>
        <v>2109670.58</v>
      </c>
      <c r="E23" s="15">
        <f>SUM(E17:E22)</f>
        <v>96289763.39</v>
      </c>
      <c r="F23" s="40"/>
      <c r="G23" s="40"/>
      <c r="H23" s="40"/>
      <c r="I23" s="40"/>
      <c r="J23" s="40"/>
      <c r="K23" s="40"/>
      <c r="L23" s="40"/>
    </row>
    <row r="24" spans="1:12" s="16" customFormat="1" ht="18.75">
      <c r="A24" s="151" t="s">
        <v>57</v>
      </c>
      <c r="B24" s="152"/>
      <c r="C24" s="152"/>
      <c r="D24" s="152"/>
      <c r="E24" s="153"/>
      <c r="F24" s="40"/>
      <c r="G24" s="40"/>
      <c r="H24" s="40"/>
      <c r="I24" s="40"/>
      <c r="J24" s="40"/>
      <c r="K24" s="40"/>
      <c r="L24" s="40"/>
    </row>
    <row r="25" spans="1:12" s="16" customFormat="1" ht="47.25">
      <c r="A25" s="70">
        <v>1</v>
      </c>
      <c r="B25" s="58" t="s">
        <v>97</v>
      </c>
      <c r="C25" s="69">
        <v>741485759.78</v>
      </c>
      <c r="D25" s="69">
        <v>379278167.97</v>
      </c>
      <c r="E25" s="82">
        <v>362207591.81</v>
      </c>
      <c r="F25" s="40"/>
      <c r="G25" s="40"/>
      <c r="H25" s="40"/>
      <c r="I25" s="40"/>
      <c r="J25" s="40"/>
      <c r="K25" s="40"/>
      <c r="L25" s="40"/>
    </row>
    <row r="26" spans="1:12" s="16" customFormat="1" ht="47.25">
      <c r="A26" s="70">
        <v>2</v>
      </c>
      <c r="B26" s="58" t="s">
        <v>90</v>
      </c>
      <c r="C26" s="68">
        <v>754749072</v>
      </c>
      <c r="D26" s="68">
        <v>265791572</v>
      </c>
      <c r="E26" s="76">
        <v>488957500</v>
      </c>
      <c r="F26" s="40"/>
      <c r="G26" s="40"/>
      <c r="H26" s="40"/>
      <c r="I26" s="40"/>
      <c r="J26" s="40"/>
      <c r="K26" s="40"/>
      <c r="L26" s="40"/>
    </row>
    <row r="27" spans="1:12" s="16" customFormat="1" ht="47.25">
      <c r="A27" s="70">
        <v>3</v>
      </c>
      <c r="B27" s="58" t="s">
        <v>58</v>
      </c>
      <c r="C27" s="68">
        <v>3924000</v>
      </c>
      <c r="D27" s="68">
        <v>654000</v>
      </c>
      <c r="E27" s="76">
        <v>3270000</v>
      </c>
      <c r="F27" s="40"/>
      <c r="G27" s="40"/>
      <c r="H27" s="40"/>
      <c r="I27" s="40"/>
      <c r="J27" s="40"/>
      <c r="K27" s="40"/>
      <c r="L27" s="40"/>
    </row>
    <row r="28" spans="1:12" s="16" customFormat="1" ht="18.75">
      <c r="A28" s="130" t="s">
        <v>135</v>
      </c>
      <c r="B28" s="131"/>
      <c r="C28" s="100">
        <f>SUM(C25:C27)</f>
        <v>1500158831.78</v>
      </c>
      <c r="D28" s="100">
        <f>SUM(D25:D27)</f>
        <v>645723739.97</v>
      </c>
      <c r="E28" s="101">
        <f>SUM(E25:E27)</f>
        <v>854435091.81</v>
      </c>
      <c r="F28" s="40"/>
      <c r="G28" s="40"/>
      <c r="H28" s="40"/>
      <c r="I28" s="40"/>
      <c r="J28" s="40"/>
      <c r="K28" s="40"/>
      <c r="L28" s="40"/>
    </row>
    <row r="29" spans="1:12" s="6" customFormat="1" ht="25.5" customHeight="1">
      <c r="A29" s="151" t="s">
        <v>22</v>
      </c>
      <c r="B29" s="152"/>
      <c r="C29" s="152"/>
      <c r="D29" s="152"/>
      <c r="E29" s="153"/>
      <c r="F29" s="42"/>
      <c r="G29" s="42"/>
      <c r="H29" s="42"/>
      <c r="I29" s="42"/>
      <c r="J29" s="42"/>
      <c r="K29" s="42"/>
      <c r="L29" s="42"/>
    </row>
    <row r="30" spans="1:12" s="4" customFormat="1" ht="31.5">
      <c r="A30" s="70">
        <v>1</v>
      </c>
      <c r="B30" s="58" t="s">
        <v>23</v>
      </c>
      <c r="C30" s="68">
        <v>111426</v>
      </c>
      <c r="D30" s="68">
        <v>0</v>
      </c>
      <c r="E30" s="68">
        <v>111426</v>
      </c>
      <c r="F30" s="38"/>
      <c r="G30" s="38"/>
      <c r="H30" s="38"/>
      <c r="I30" s="38"/>
      <c r="J30" s="38"/>
      <c r="K30" s="38"/>
      <c r="L30" s="38"/>
    </row>
    <row r="31" spans="1:12" s="4" customFormat="1" ht="31.5">
      <c r="A31" s="70">
        <v>2</v>
      </c>
      <c r="B31" s="58" t="s">
        <v>24</v>
      </c>
      <c r="C31" s="68">
        <v>92638</v>
      </c>
      <c r="D31" s="68">
        <v>0</v>
      </c>
      <c r="E31" s="68">
        <v>92638</v>
      </c>
      <c r="F31" s="38"/>
      <c r="G31" s="38"/>
      <c r="H31" s="38"/>
      <c r="I31" s="38"/>
      <c r="J31" s="38"/>
      <c r="K31" s="38"/>
      <c r="L31" s="38"/>
    </row>
    <row r="32" spans="1:6" s="38" customFormat="1" ht="31.5">
      <c r="A32" s="71">
        <v>3</v>
      </c>
      <c r="B32" s="57" t="s">
        <v>25</v>
      </c>
      <c r="C32" s="69">
        <v>56954</v>
      </c>
      <c r="D32" s="69">
        <v>4896</v>
      </c>
      <c r="E32" s="82">
        <v>52058</v>
      </c>
      <c r="F32" s="50"/>
    </row>
    <row r="33" spans="1:12" s="4" customFormat="1" ht="31.5">
      <c r="A33" s="70">
        <v>4</v>
      </c>
      <c r="B33" s="58" t="s">
        <v>26</v>
      </c>
      <c r="C33" s="68">
        <v>253373.73</v>
      </c>
      <c r="D33" s="68">
        <v>0</v>
      </c>
      <c r="E33" s="76">
        <v>253373.73</v>
      </c>
      <c r="F33" s="38"/>
      <c r="G33" s="38"/>
      <c r="H33" s="38"/>
      <c r="I33" s="38"/>
      <c r="J33" s="38"/>
      <c r="K33" s="38"/>
      <c r="L33" s="38"/>
    </row>
    <row r="34" spans="1:12" s="4" customFormat="1" ht="31.5">
      <c r="A34" s="70">
        <v>5</v>
      </c>
      <c r="B34" s="58" t="s">
        <v>60</v>
      </c>
      <c r="C34" s="68">
        <v>169921</v>
      </c>
      <c r="D34" s="68">
        <v>0</v>
      </c>
      <c r="E34" s="68">
        <v>169921</v>
      </c>
      <c r="F34" s="38"/>
      <c r="G34" s="38"/>
      <c r="H34" s="38"/>
      <c r="I34" s="38"/>
      <c r="J34" s="38"/>
      <c r="K34" s="38"/>
      <c r="L34" s="38"/>
    </row>
    <row r="35" spans="1:12" s="4" customFormat="1" ht="15.75">
      <c r="A35" s="93">
        <v>6</v>
      </c>
      <c r="B35" s="57" t="s">
        <v>106</v>
      </c>
      <c r="C35" s="68">
        <v>225460</v>
      </c>
      <c r="D35" s="68">
        <v>0</v>
      </c>
      <c r="E35" s="68">
        <v>225460</v>
      </c>
      <c r="F35" s="38"/>
      <c r="G35" s="38"/>
      <c r="H35" s="38"/>
      <c r="I35" s="38"/>
      <c r="J35" s="38"/>
      <c r="K35" s="38"/>
      <c r="L35" s="38"/>
    </row>
    <row r="36" spans="1:12" s="16" customFormat="1" ht="18.75">
      <c r="A36" s="125" t="s">
        <v>27</v>
      </c>
      <c r="B36" s="126"/>
      <c r="C36" s="15">
        <f>C30+C31+C32+C33+C34+C35</f>
        <v>909772.73</v>
      </c>
      <c r="D36" s="15">
        <f>D30+D31+D32+D33+D34+D35</f>
        <v>4896</v>
      </c>
      <c r="E36" s="15">
        <f>E30+E31+E32+E33+E34+E35</f>
        <v>904876.73</v>
      </c>
      <c r="F36" s="40"/>
      <c r="G36" s="40"/>
      <c r="H36" s="40"/>
      <c r="I36" s="40"/>
      <c r="J36" s="40"/>
      <c r="K36" s="40"/>
      <c r="L36" s="40"/>
    </row>
    <row r="37" spans="1:12" s="5" customFormat="1" ht="25.5" customHeight="1">
      <c r="A37" s="156" t="s">
        <v>28</v>
      </c>
      <c r="B37" s="157"/>
      <c r="C37" s="157"/>
      <c r="D37" s="157"/>
      <c r="E37" s="158"/>
      <c r="F37" s="41"/>
      <c r="G37" s="41"/>
      <c r="H37" s="41"/>
      <c r="I37" s="41"/>
      <c r="J37" s="41"/>
      <c r="K37" s="41"/>
      <c r="L37" s="41"/>
    </row>
    <row r="38" spans="1:12" s="4" customFormat="1" ht="63">
      <c r="A38" s="70">
        <v>1</v>
      </c>
      <c r="B38" s="58" t="s">
        <v>29</v>
      </c>
      <c r="C38" s="76">
        <v>257016</v>
      </c>
      <c r="D38" s="68">
        <v>0</v>
      </c>
      <c r="E38" s="76">
        <v>257016</v>
      </c>
      <c r="F38" s="38"/>
      <c r="G38" s="38"/>
      <c r="H38" s="38"/>
      <c r="I38" s="38"/>
      <c r="J38" s="38"/>
      <c r="K38" s="38"/>
      <c r="L38" s="38"/>
    </row>
    <row r="39" spans="1:5" s="38" customFormat="1" ht="31.5">
      <c r="A39" s="71">
        <v>2</v>
      </c>
      <c r="B39" s="79" t="s">
        <v>91</v>
      </c>
      <c r="C39" s="69">
        <v>379442.67</v>
      </c>
      <c r="D39" s="69">
        <v>18972.14</v>
      </c>
      <c r="E39" s="82">
        <v>360470.53</v>
      </c>
    </row>
    <row r="40" spans="1:5" s="38" customFormat="1" ht="15.75">
      <c r="A40" s="71">
        <v>3</v>
      </c>
      <c r="B40" s="79" t="s">
        <v>92</v>
      </c>
      <c r="C40" s="69">
        <v>398723.75</v>
      </c>
      <c r="D40" s="69">
        <f>+C40*0.15</f>
        <v>59808.5625</v>
      </c>
      <c r="E40" s="82">
        <f>+C40*0.85</f>
        <v>338915.1875</v>
      </c>
    </row>
    <row r="41" spans="1:5" s="38" customFormat="1" ht="31.5">
      <c r="A41" s="71">
        <v>4</v>
      </c>
      <c r="B41" s="79" t="s">
        <v>93</v>
      </c>
      <c r="C41" s="69">
        <v>71097.06</v>
      </c>
      <c r="D41" s="69">
        <v>0</v>
      </c>
      <c r="E41" s="69">
        <v>71097.06</v>
      </c>
    </row>
    <row r="42" spans="1:12" s="4" customFormat="1" ht="47.25">
      <c r="A42" s="70">
        <v>5</v>
      </c>
      <c r="B42" s="83" t="s">
        <v>118</v>
      </c>
      <c r="C42" s="68">
        <v>74437</v>
      </c>
      <c r="D42" s="69">
        <v>0</v>
      </c>
      <c r="E42" s="69">
        <v>74437</v>
      </c>
      <c r="F42" s="38"/>
      <c r="G42" s="38"/>
      <c r="H42" s="38"/>
      <c r="I42" s="38"/>
      <c r="J42" s="38"/>
      <c r="K42" s="38"/>
      <c r="L42" s="38"/>
    </row>
    <row r="43" spans="1:12" s="16" customFormat="1" ht="18.75">
      <c r="A43" s="125" t="s">
        <v>30</v>
      </c>
      <c r="B43" s="126"/>
      <c r="C43" s="15">
        <f>SUM(C38:C42)</f>
        <v>1180716.48</v>
      </c>
      <c r="D43" s="15">
        <f>SUM(D38:D42)</f>
        <v>78780.7025</v>
      </c>
      <c r="E43" s="15">
        <f>SUM(E38:E42)</f>
        <v>1101935.7775</v>
      </c>
      <c r="F43" s="44"/>
      <c r="G43" s="40"/>
      <c r="H43" s="40"/>
      <c r="I43" s="40"/>
      <c r="J43" s="40"/>
      <c r="K43" s="40"/>
      <c r="L43" s="40"/>
    </row>
    <row r="44" spans="1:12" s="25" customFormat="1" ht="26.25" customHeight="1">
      <c r="A44" s="156" t="s">
        <v>72</v>
      </c>
      <c r="B44" s="157"/>
      <c r="C44" s="157"/>
      <c r="D44" s="157"/>
      <c r="E44" s="158"/>
      <c r="F44" s="43"/>
      <c r="G44" s="43"/>
      <c r="H44" s="43"/>
      <c r="I44" s="43"/>
      <c r="J44" s="43"/>
      <c r="K44" s="43"/>
      <c r="L44" s="43"/>
    </row>
    <row r="45" spans="1:12" s="25" customFormat="1" ht="31.5">
      <c r="A45" s="70">
        <v>1</v>
      </c>
      <c r="B45" s="58" t="s">
        <v>87</v>
      </c>
      <c r="C45" s="68">
        <v>169721.9</v>
      </c>
      <c r="D45" s="68" t="s">
        <v>100</v>
      </c>
      <c r="E45" s="68" t="s">
        <v>99</v>
      </c>
      <c r="F45" s="52"/>
      <c r="G45" s="43"/>
      <c r="H45" s="43"/>
      <c r="I45" s="43"/>
      <c r="J45" s="43"/>
      <c r="K45" s="43"/>
      <c r="L45" s="43"/>
    </row>
    <row r="46" spans="1:12" s="16" customFormat="1" ht="18.75">
      <c r="A46" s="125" t="s">
        <v>75</v>
      </c>
      <c r="B46" s="126"/>
      <c r="C46" s="15">
        <f>C45</f>
        <v>169721.9</v>
      </c>
      <c r="D46" s="15">
        <v>50916.5</v>
      </c>
      <c r="E46" s="15">
        <v>118805.4</v>
      </c>
      <c r="F46" s="44"/>
      <c r="G46" s="40"/>
      <c r="H46" s="40"/>
      <c r="I46" s="40"/>
      <c r="J46" s="40"/>
      <c r="K46" s="40"/>
      <c r="L46" s="40"/>
    </row>
    <row r="47" spans="1:12" s="16" customFormat="1" ht="18.75">
      <c r="A47" s="177" t="s">
        <v>120</v>
      </c>
      <c r="B47" s="178"/>
      <c r="C47" s="178"/>
      <c r="D47" s="178"/>
      <c r="E47" s="179"/>
      <c r="F47" s="44"/>
      <c r="G47" s="40"/>
      <c r="H47" s="40"/>
      <c r="I47" s="40"/>
      <c r="J47" s="40"/>
      <c r="K47" s="40"/>
      <c r="L47" s="40"/>
    </row>
    <row r="48" spans="1:12" s="16" customFormat="1" ht="18.75">
      <c r="A48" s="18">
        <v>1</v>
      </c>
      <c r="B48" s="94" t="s">
        <v>121</v>
      </c>
      <c r="C48" s="8">
        <v>307549.12</v>
      </c>
      <c r="D48" s="8">
        <v>0</v>
      </c>
      <c r="E48" s="8">
        <v>307549.12</v>
      </c>
      <c r="F48" s="44"/>
      <c r="G48" s="40"/>
      <c r="H48" s="40"/>
      <c r="I48" s="40"/>
      <c r="J48" s="40"/>
      <c r="K48" s="40"/>
      <c r="L48" s="40"/>
    </row>
    <row r="49" spans="1:12" s="16" customFormat="1" ht="18.75">
      <c r="A49" s="91"/>
      <c r="B49" s="92" t="s">
        <v>112</v>
      </c>
      <c r="C49" s="15">
        <f>SUM(C48)</f>
        <v>307549.12</v>
      </c>
      <c r="D49" s="15">
        <f>SUM(D48)</f>
        <v>0</v>
      </c>
      <c r="E49" s="15">
        <f>SUM(E48)</f>
        <v>307549.12</v>
      </c>
      <c r="F49" s="44"/>
      <c r="G49" s="40"/>
      <c r="H49" s="40"/>
      <c r="I49" s="40"/>
      <c r="J49" s="40"/>
      <c r="K49" s="40"/>
      <c r="L49" s="40"/>
    </row>
    <row r="50" spans="1:12" s="7" customFormat="1" ht="18.75">
      <c r="A50" s="145" t="s">
        <v>184</v>
      </c>
      <c r="B50" s="147"/>
      <c r="C50" s="170">
        <f>C15+C23+C28+C36+C43+C46+C49</f>
        <v>1632562828.2</v>
      </c>
      <c r="D50" s="170">
        <f>D15+D23+D28+D36+D43+D46+D49</f>
        <v>651248390.7425001</v>
      </c>
      <c r="E50" s="170">
        <f>E15+E23+E28+E36+E43+E46+E49</f>
        <v>981314437.4575</v>
      </c>
      <c r="F50" s="44"/>
      <c r="G50" s="44"/>
      <c r="H50" s="17"/>
      <c r="I50" s="17"/>
      <c r="J50" s="17"/>
      <c r="K50" s="17"/>
      <c r="L50" s="17"/>
    </row>
  </sheetData>
  <sheetProtection formatCells="0" formatColumns="0" formatRows="0" insertColumns="0" insertRows="0" deleteColumns="0" deleteRows="0"/>
  <mergeCells count="19">
    <mergeCell ref="A47:E47"/>
    <mergeCell ref="A50:B50"/>
    <mergeCell ref="A4:E4"/>
    <mergeCell ref="A16:E16"/>
    <mergeCell ref="A29:E29"/>
    <mergeCell ref="A23:B23"/>
    <mergeCell ref="A36:B36"/>
    <mergeCell ref="A44:E44"/>
    <mergeCell ref="A46:B46"/>
    <mergeCell ref="A15:B15"/>
    <mergeCell ref="A43:B43"/>
    <mergeCell ref="A37:E37"/>
    <mergeCell ref="A1:E1"/>
    <mergeCell ref="B2:B3"/>
    <mergeCell ref="C2:C3"/>
    <mergeCell ref="D2:E2"/>
    <mergeCell ref="A2:A3"/>
    <mergeCell ref="A24:E24"/>
    <mergeCell ref="A28:B28"/>
  </mergeCells>
  <printOptions/>
  <pageMargins left="0.7874015748031497" right="0.39" top="0.51" bottom="0.37" header="0" footer="0"/>
  <pageSetup horizontalDpi="600" verticalDpi="600" orientation="portrait" scale="60" r:id="rId3"/>
  <headerFooter alignWithMargins="0"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8" activeCellId="2" sqref="A1:E1 A4:E4 A8:E8"/>
    </sheetView>
  </sheetViews>
  <sheetFormatPr defaultColWidth="9.140625" defaultRowHeight="12.75"/>
  <cols>
    <col min="1" max="1" width="6.8515625" style="1" bestFit="1" customWidth="1"/>
    <col min="2" max="2" width="72.8515625" style="1" customWidth="1"/>
    <col min="3" max="3" width="22.00390625" style="27" customWidth="1"/>
    <col min="4" max="4" width="23.7109375" style="28" customWidth="1"/>
    <col min="5" max="5" width="20.140625" style="28" customWidth="1"/>
    <col min="6" max="6" width="12.7109375" style="1" bestFit="1" customWidth="1"/>
    <col min="7" max="16384" width="9.140625" style="1" customWidth="1"/>
  </cols>
  <sheetData>
    <row r="1" spans="1:5" ht="47.25" customHeight="1">
      <c r="A1" s="164" t="s">
        <v>148</v>
      </c>
      <c r="B1" s="164"/>
      <c r="C1" s="164"/>
      <c r="D1" s="164"/>
      <c r="E1" s="164"/>
    </row>
    <row r="2" spans="1:5" ht="39" customHeight="1">
      <c r="A2" s="128" t="s">
        <v>0</v>
      </c>
      <c r="B2" s="128" t="s">
        <v>1</v>
      </c>
      <c r="C2" s="129" t="s">
        <v>3</v>
      </c>
      <c r="D2" s="129" t="s">
        <v>73</v>
      </c>
      <c r="E2" s="129"/>
    </row>
    <row r="3" spans="1:5" ht="45.75" customHeight="1">
      <c r="A3" s="128"/>
      <c r="B3" s="128"/>
      <c r="C3" s="129"/>
      <c r="D3" s="26" t="s">
        <v>4</v>
      </c>
      <c r="E3" s="26" t="s">
        <v>5</v>
      </c>
    </row>
    <row r="4" spans="1:5" s="16" customFormat="1" ht="53.25" customHeight="1">
      <c r="A4" s="175" t="s">
        <v>151</v>
      </c>
      <c r="B4" s="175"/>
      <c r="C4" s="175"/>
      <c r="D4" s="175"/>
      <c r="E4" s="175"/>
    </row>
    <row r="5" spans="1:5" s="102" customFormat="1" ht="27.75" customHeight="1">
      <c r="A5" s="156" t="s">
        <v>136</v>
      </c>
      <c r="B5" s="157"/>
      <c r="C5" s="157"/>
      <c r="D5" s="157"/>
      <c r="E5" s="158"/>
    </row>
    <row r="6" spans="1:5" s="17" customFormat="1" ht="31.5">
      <c r="A6" s="70">
        <v>1</v>
      </c>
      <c r="B6" s="58" t="s">
        <v>137</v>
      </c>
      <c r="C6" s="68">
        <f>19000*1.9558</f>
        <v>37160.2</v>
      </c>
      <c r="D6" s="68">
        <v>0</v>
      </c>
      <c r="E6" s="68">
        <f>+C6</f>
        <v>37160.2</v>
      </c>
    </row>
    <row r="7" spans="1:6" s="16" customFormat="1" ht="18.75">
      <c r="A7" s="134" t="s">
        <v>138</v>
      </c>
      <c r="B7" s="135"/>
      <c r="C7" s="15">
        <f>+C6</f>
        <v>37160.2</v>
      </c>
      <c r="D7" s="15">
        <f>+D6</f>
        <v>0</v>
      </c>
      <c r="E7" s="15">
        <f>+E6</f>
        <v>37160.2</v>
      </c>
      <c r="F7" s="103"/>
    </row>
    <row r="8" spans="1:5" s="7" customFormat="1" ht="18.75">
      <c r="A8" s="176" t="s">
        <v>149</v>
      </c>
      <c r="B8" s="176"/>
      <c r="C8" s="170">
        <f>C7</f>
        <v>37160.2</v>
      </c>
      <c r="D8" s="170">
        <f>D7</f>
        <v>0</v>
      </c>
      <c r="E8" s="170">
        <f>E7</f>
        <v>37160.2</v>
      </c>
    </row>
  </sheetData>
  <sheetProtection/>
  <mergeCells count="9">
    <mergeCell ref="A8:B8"/>
    <mergeCell ref="A5:E5"/>
    <mergeCell ref="A7:B7"/>
    <mergeCell ref="A1:E1"/>
    <mergeCell ref="A2:A3"/>
    <mergeCell ref="B2:B3"/>
    <mergeCell ref="C2:C3"/>
    <mergeCell ref="D2:E2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6.8515625" style="1" bestFit="1" customWidth="1"/>
    <col min="2" max="2" width="72.8515625" style="1" customWidth="1"/>
    <col min="3" max="3" width="22.00390625" style="27" customWidth="1"/>
    <col min="4" max="4" width="23.7109375" style="28" customWidth="1"/>
    <col min="5" max="5" width="20.140625" style="28" customWidth="1"/>
    <col min="6" max="6" width="12.7109375" style="1" bestFit="1" customWidth="1"/>
    <col min="7" max="16384" width="9.140625" style="1" customWidth="1"/>
  </cols>
  <sheetData>
    <row r="1" spans="1:5" ht="47.25" customHeight="1">
      <c r="A1" s="127" t="s">
        <v>150</v>
      </c>
      <c r="B1" s="127"/>
      <c r="C1" s="127"/>
      <c r="D1" s="127"/>
      <c r="E1" s="127"/>
    </row>
    <row r="2" spans="1:5" ht="39" customHeight="1">
      <c r="A2" s="128" t="s">
        <v>0</v>
      </c>
      <c r="B2" s="128" t="s">
        <v>1</v>
      </c>
      <c r="C2" s="129" t="s">
        <v>3</v>
      </c>
      <c r="D2" s="129" t="s">
        <v>73</v>
      </c>
      <c r="E2" s="129"/>
    </row>
    <row r="3" spans="1:5" ht="45.75" customHeight="1">
      <c r="A3" s="128"/>
      <c r="B3" s="128"/>
      <c r="C3" s="129"/>
      <c r="D3" s="26" t="s">
        <v>4</v>
      </c>
      <c r="E3" s="26" t="s">
        <v>5</v>
      </c>
    </row>
    <row r="4" spans="1:5" s="16" customFormat="1" ht="53.25" customHeight="1">
      <c r="A4" s="175" t="s">
        <v>153</v>
      </c>
      <c r="B4" s="175"/>
      <c r="C4" s="175"/>
      <c r="D4" s="175"/>
      <c r="E4" s="175"/>
    </row>
    <row r="5" spans="1:5" ht="21.75" customHeight="1">
      <c r="A5" s="151" t="s">
        <v>139</v>
      </c>
      <c r="B5" s="152"/>
      <c r="C5" s="152"/>
      <c r="D5" s="152"/>
      <c r="E5" s="153"/>
    </row>
    <row r="6" spans="1:6" ht="47.25">
      <c r="A6" s="70">
        <v>1</v>
      </c>
      <c r="B6" s="104" t="s">
        <v>140</v>
      </c>
      <c r="C6" s="105">
        <v>1700000</v>
      </c>
      <c r="D6" s="106">
        <f>100000+300000</f>
        <v>400000</v>
      </c>
      <c r="E6" s="106">
        <v>1300000</v>
      </c>
      <c r="F6" s="28"/>
    </row>
    <row r="7" spans="1:5" ht="45.75" customHeight="1">
      <c r="A7" s="70">
        <v>2</v>
      </c>
      <c r="B7" s="104" t="s">
        <v>141</v>
      </c>
      <c r="C7" s="106">
        <v>1459170</v>
      </c>
      <c r="D7" s="106">
        <v>350000</v>
      </c>
      <c r="E7" s="106">
        <v>1109170</v>
      </c>
    </row>
    <row r="8" spans="1:5" ht="57" customHeight="1">
      <c r="A8" s="70">
        <v>3</v>
      </c>
      <c r="B8" s="104" t="s">
        <v>142</v>
      </c>
      <c r="C8" s="106">
        <v>1169794</v>
      </c>
      <c r="D8" s="106">
        <v>400032</v>
      </c>
      <c r="E8" s="106">
        <v>769762</v>
      </c>
    </row>
    <row r="9" spans="1:5" ht="47.25">
      <c r="A9" s="70">
        <v>4</v>
      </c>
      <c r="B9" s="104" t="s">
        <v>143</v>
      </c>
      <c r="C9" s="106">
        <v>1926995</v>
      </c>
      <c r="D9" s="106">
        <v>289071</v>
      </c>
      <c r="E9" s="106">
        <v>1637924</v>
      </c>
    </row>
    <row r="10" spans="1:6" ht="18.75">
      <c r="A10" s="134" t="s">
        <v>144</v>
      </c>
      <c r="B10" s="135"/>
      <c r="C10" s="107">
        <f>SUM(C6:C9)</f>
        <v>6255959</v>
      </c>
      <c r="D10" s="107">
        <f>SUM(D6:D9)</f>
        <v>1439103</v>
      </c>
      <c r="E10" s="107">
        <f>SUM(E6:E9)</f>
        <v>4816856</v>
      </c>
      <c r="F10" s="28"/>
    </row>
    <row r="11" spans="1:6" ht="22.5" customHeight="1">
      <c r="A11" s="151" t="s">
        <v>145</v>
      </c>
      <c r="B11" s="152"/>
      <c r="C11" s="152"/>
      <c r="D11" s="152"/>
      <c r="E11" s="153"/>
      <c r="F11" s="28"/>
    </row>
    <row r="12" spans="1:6" ht="47.25">
      <c r="A12" s="63">
        <v>1</v>
      </c>
      <c r="B12" s="79" t="s">
        <v>146</v>
      </c>
      <c r="C12" s="69">
        <v>2276231</v>
      </c>
      <c r="D12" s="69">
        <v>850661</v>
      </c>
      <c r="E12" s="69">
        <v>1425570</v>
      </c>
      <c r="F12" s="28"/>
    </row>
    <row r="13" spans="1:6" ht="18.75">
      <c r="A13" s="134" t="s">
        <v>147</v>
      </c>
      <c r="B13" s="135"/>
      <c r="C13" s="107">
        <f>+C12</f>
        <v>2276231</v>
      </c>
      <c r="D13" s="107">
        <f>+D12</f>
        <v>850661</v>
      </c>
      <c r="E13" s="107">
        <f>+E12</f>
        <v>1425570</v>
      </c>
      <c r="F13" s="28"/>
    </row>
    <row r="14" spans="1:5" s="7" customFormat="1" ht="18.75">
      <c r="A14" s="176" t="s">
        <v>152</v>
      </c>
      <c r="B14" s="176"/>
      <c r="C14" s="170">
        <f>C10+C13</f>
        <v>8532190</v>
      </c>
      <c r="D14" s="170">
        <f>D10+D13</f>
        <v>2289764</v>
      </c>
      <c r="E14" s="170">
        <f>E10+E13</f>
        <v>6242426</v>
      </c>
    </row>
  </sheetData>
  <sheetProtection/>
  <mergeCells count="11">
    <mergeCell ref="A4:E4"/>
    <mergeCell ref="A14:B14"/>
    <mergeCell ref="A5:E5"/>
    <mergeCell ref="A10:B10"/>
    <mergeCell ref="A11:E11"/>
    <mergeCell ref="A13:B13"/>
    <mergeCell ref="A1:E1"/>
    <mergeCell ref="A2:A3"/>
    <mergeCell ref="B2:B3"/>
    <mergeCell ref="C2:C3"/>
    <mergeCell ref="D2:E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"/>
  <sheetViews>
    <sheetView zoomScaleSheetLayoutView="75" zoomScalePageLayoutView="0" workbookViewId="0" topLeftCell="A1">
      <selection activeCell="C7" sqref="C7:F7"/>
    </sheetView>
  </sheetViews>
  <sheetFormatPr defaultColWidth="9.140625" defaultRowHeight="12.75"/>
  <cols>
    <col min="1" max="1" width="6.8515625" style="1" bestFit="1" customWidth="1"/>
    <col min="2" max="2" width="65.00390625" style="1" customWidth="1"/>
    <col min="3" max="3" width="28.421875" style="13" bestFit="1" customWidth="1"/>
    <col min="4" max="4" width="18.8515625" style="27" customWidth="1"/>
    <col min="5" max="5" width="18.8515625" style="28" customWidth="1"/>
    <col min="6" max="6" width="18.7109375" style="28" customWidth="1"/>
    <col min="7" max="7" width="11.7109375" style="1" bestFit="1" customWidth="1"/>
    <col min="8" max="8" width="10.140625" style="1" bestFit="1" customWidth="1"/>
    <col min="9" max="16384" width="9.140625" style="1" customWidth="1"/>
  </cols>
  <sheetData>
    <row r="1" spans="1:7" ht="81.75" customHeight="1">
      <c r="A1" s="164" t="s">
        <v>179</v>
      </c>
      <c r="B1" s="164"/>
      <c r="C1" s="164"/>
      <c r="D1" s="164"/>
      <c r="E1" s="164"/>
      <c r="F1" s="164"/>
      <c r="G1" s="34"/>
    </row>
    <row r="2" spans="1:7" ht="39" customHeight="1">
      <c r="A2" s="128" t="s">
        <v>0</v>
      </c>
      <c r="B2" s="128" t="s">
        <v>1</v>
      </c>
      <c r="C2" s="128" t="s">
        <v>2</v>
      </c>
      <c r="D2" s="129" t="s">
        <v>3</v>
      </c>
      <c r="E2" s="129" t="s">
        <v>73</v>
      </c>
      <c r="F2" s="129"/>
      <c r="G2" s="34"/>
    </row>
    <row r="3" spans="1:7" ht="45.75" customHeight="1">
      <c r="A3" s="128"/>
      <c r="B3" s="128"/>
      <c r="C3" s="128"/>
      <c r="D3" s="129"/>
      <c r="E3" s="26" t="s">
        <v>4</v>
      </c>
      <c r="F3" s="26" t="s">
        <v>5</v>
      </c>
      <c r="G3" s="34"/>
    </row>
    <row r="4" spans="1:7" s="3" customFormat="1" ht="31.5">
      <c r="A4" s="70">
        <v>1</v>
      </c>
      <c r="B4" s="58" t="s">
        <v>101</v>
      </c>
      <c r="C4" s="62" t="s">
        <v>76</v>
      </c>
      <c r="D4" s="68">
        <v>286333</v>
      </c>
      <c r="E4" s="68">
        <v>70116</v>
      </c>
      <c r="F4" s="68">
        <v>216217</v>
      </c>
      <c r="G4" s="36"/>
    </row>
    <row r="5" spans="1:7" s="3" customFormat="1" ht="31.5">
      <c r="A5" s="70">
        <v>2</v>
      </c>
      <c r="B5" s="58" t="s">
        <v>126</v>
      </c>
      <c r="C5" s="62" t="s">
        <v>77</v>
      </c>
      <c r="D5" s="68">
        <v>57594.4</v>
      </c>
      <c r="E5" s="68">
        <v>17278.32</v>
      </c>
      <c r="F5" s="68">
        <f>+D5-E5</f>
        <v>40316.08</v>
      </c>
      <c r="G5" s="36"/>
    </row>
    <row r="6" spans="1:7" s="3" customFormat="1" ht="32.25" customHeight="1">
      <c r="A6" s="70">
        <v>3</v>
      </c>
      <c r="B6" s="58" t="s">
        <v>110</v>
      </c>
      <c r="C6" s="62" t="s">
        <v>9</v>
      </c>
      <c r="D6" s="68">
        <f>47100*1.9558</f>
        <v>92118.18</v>
      </c>
      <c r="E6" s="68">
        <f>9420*1.9558</f>
        <v>18423.636</v>
      </c>
      <c r="F6" s="68">
        <f>37680*1.9558</f>
        <v>73694.544</v>
      </c>
      <c r="G6" s="35"/>
    </row>
    <row r="7" spans="1:18" s="3" customFormat="1" ht="18.75">
      <c r="A7" s="169" t="s">
        <v>182</v>
      </c>
      <c r="B7" s="169"/>
      <c r="C7" s="172"/>
      <c r="D7" s="173">
        <f>SUM(D4:D6)</f>
        <v>436045.58</v>
      </c>
      <c r="E7" s="174">
        <f>SUM(E4:E6)</f>
        <v>105817.956</v>
      </c>
      <c r="F7" s="173">
        <f>+D7-E7</f>
        <v>330227.624</v>
      </c>
      <c r="G7" s="45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</sheetData>
  <sheetProtection formatCells="0" formatColumns="0" formatRows="0" insertColumns="0" insertRows="0" deleteColumns="0" deleteRows="0"/>
  <mergeCells count="7">
    <mergeCell ref="A7:B7"/>
    <mergeCell ref="A1:F1"/>
    <mergeCell ref="A2:A3"/>
    <mergeCell ref="B2:B3"/>
    <mergeCell ref="C2:C3"/>
    <mergeCell ref="D2:D3"/>
    <mergeCell ref="E2:F2"/>
  </mergeCells>
  <printOptions/>
  <pageMargins left="0.7874015748031497" right="0.39" top="0.51" bottom="0.37" header="0" footer="0"/>
  <pageSetup horizontalDpi="600" verticalDpi="600" orientation="portrait" scale="60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O47"/>
  <sheetViews>
    <sheetView zoomScaleSheetLayoutView="75" zoomScalePageLayoutView="0" workbookViewId="0" topLeftCell="A26">
      <selection activeCell="A33" activeCellId="8" sqref="A4:E4 A10:E10 A10:E10 A20:E20 A23:E23 A23:E23 A27:E27 A30:E30 A33:E33"/>
    </sheetView>
  </sheetViews>
  <sheetFormatPr defaultColWidth="9.140625" defaultRowHeight="12.75"/>
  <cols>
    <col min="1" max="1" width="6.8515625" style="1" bestFit="1" customWidth="1"/>
    <col min="2" max="2" width="67.140625" style="1" customWidth="1"/>
    <col min="3" max="3" width="28.28125" style="14" customWidth="1"/>
    <col min="4" max="4" width="26.57421875" style="1" customWidth="1"/>
    <col min="5" max="5" width="26.7109375" style="28" customWidth="1"/>
    <col min="6" max="6" width="18.00390625" style="1" customWidth="1"/>
    <col min="7" max="16384" width="9.140625" style="1" customWidth="1"/>
  </cols>
  <sheetData>
    <row r="1" spans="1:5" ht="81.75" customHeight="1">
      <c r="A1" s="164" t="s">
        <v>180</v>
      </c>
      <c r="B1" s="164"/>
      <c r="C1" s="164"/>
      <c r="D1" s="164"/>
      <c r="E1" s="164"/>
    </row>
    <row r="2" spans="1:5" ht="39" customHeight="1">
      <c r="A2" s="128" t="s">
        <v>0</v>
      </c>
      <c r="B2" s="128" t="s">
        <v>1</v>
      </c>
      <c r="C2" s="128" t="s">
        <v>3</v>
      </c>
      <c r="D2" s="128" t="s">
        <v>73</v>
      </c>
      <c r="E2" s="128"/>
    </row>
    <row r="3" spans="1:5" ht="45.75" customHeight="1">
      <c r="A3" s="128"/>
      <c r="B3" s="128"/>
      <c r="C3" s="128"/>
      <c r="D3" s="2" t="s">
        <v>4</v>
      </c>
      <c r="E3" s="26" t="s">
        <v>5</v>
      </c>
    </row>
    <row r="4" spans="1:5" s="3" customFormat="1" ht="25.5" customHeight="1">
      <c r="A4" s="156" t="s">
        <v>17</v>
      </c>
      <c r="B4" s="157"/>
      <c r="C4" s="157"/>
      <c r="D4" s="157"/>
      <c r="E4" s="158"/>
    </row>
    <row r="5" spans="1:5" s="4" customFormat="1" ht="25.5" customHeight="1">
      <c r="A5" s="70">
        <v>1</v>
      </c>
      <c r="B5" s="58" t="s">
        <v>48</v>
      </c>
      <c r="C5" s="68">
        <v>122482833</v>
      </c>
      <c r="D5" s="68">
        <v>24691333</v>
      </c>
      <c r="E5" s="76">
        <v>97791500</v>
      </c>
    </row>
    <row r="6" spans="1:5" s="4" customFormat="1" ht="39.75" customHeight="1">
      <c r="A6" s="70">
        <v>2</v>
      </c>
      <c r="B6" s="58" t="s">
        <v>129</v>
      </c>
      <c r="C6" s="68">
        <f>SUM(D6:E6)</f>
        <v>5686924.72</v>
      </c>
      <c r="D6" s="68">
        <v>71086.56</v>
      </c>
      <c r="E6" s="76">
        <v>5615838.16</v>
      </c>
    </row>
    <row r="7" spans="1:6" s="38" customFormat="1" ht="31.5">
      <c r="A7" s="70">
        <v>3</v>
      </c>
      <c r="B7" s="83" t="s">
        <v>108</v>
      </c>
      <c r="C7" s="69">
        <v>2497600</v>
      </c>
      <c r="D7" s="69">
        <v>0</v>
      </c>
      <c r="E7" s="69">
        <v>2497600</v>
      </c>
      <c r="F7" s="50"/>
    </row>
    <row r="8" spans="1:5" s="38" customFormat="1" ht="30" customHeight="1">
      <c r="A8" s="70">
        <v>4</v>
      </c>
      <c r="B8" s="83" t="s">
        <v>111</v>
      </c>
      <c r="C8" s="69">
        <v>13490474.84</v>
      </c>
      <c r="D8" s="69">
        <v>8740474.84</v>
      </c>
      <c r="E8" s="69">
        <v>4750000</v>
      </c>
    </row>
    <row r="9" spans="1:6" s="5" customFormat="1" ht="21.75" customHeight="1">
      <c r="A9" s="136" t="s">
        <v>50</v>
      </c>
      <c r="B9" s="137"/>
      <c r="C9" s="84">
        <f>SUM(C5:C8)</f>
        <v>144157832.56</v>
      </c>
      <c r="D9" s="84">
        <f>SUM(D5:D8)</f>
        <v>33502894.4</v>
      </c>
      <c r="E9" s="84">
        <f>SUM(E5:E8)</f>
        <v>110654938.16</v>
      </c>
      <c r="F9" s="54"/>
    </row>
    <row r="10" spans="1:5" s="5" customFormat="1" ht="26.25" customHeight="1">
      <c r="A10" s="171" t="s">
        <v>20</v>
      </c>
      <c r="B10" s="171"/>
      <c r="C10" s="171"/>
      <c r="D10" s="171"/>
      <c r="E10" s="171"/>
    </row>
    <row r="11" spans="1:5" s="4" customFormat="1" ht="30" customHeight="1">
      <c r="A11" s="70">
        <v>1</v>
      </c>
      <c r="B11" s="58" t="s">
        <v>51</v>
      </c>
      <c r="C11" s="69">
        <v>135819182.6</v>
      </c>
      <c r="D11" s="69">
        <v>36969981.47</v>
      </c>
      <c r="E11" s="69">
        <v>98849201.13</v>
      </c>
    </row>
    <row r="12" spans="1:5" s="38" customFormat="1" ht="47.25">
      <c r="A12" s="95">
        <v>2</v>
      </c>
      <c r="B12" s="57" t="s">
        <v>104</v>
      </c>
      <c r="C12" s="69">
        <v>210174961.92</v>
      </c>
      <c r="D12" s="69">
        <v>26566115.19</v>
      </c>
      <c r="E12" s="69">
        <v>183608846.73</v>
      </c>
    </row>
    <row r="13" spans="1:5" s="4" customFormat="1" ht="63">
      <c r="A13" s="70">
        <v>3</v>
      </c>
      <c r="B13" s="58" t="s">
        <v>54</v>
      </c>
      <c r="C13" s="69">
        <v>33358787.1</v>
      </c>
      <c r="D13" s="69">
        <v>4811433.2</v>
      </c>
      <c r="E13" s="69">
        <v>28547353.9</v>
      </c>
    </row>
    <row r="14" spans="1:9" s="38" customFormat="1" ht="47.25">
      <c r="A14" s="18">
        <v>4</v>
      </c>
      <c r="B14" s="57" t="s">
        <v>55</v>
      </c>
      <c r="C14" s="69">
        <v>1481485.3</v>
      </c>
      <c r="D14" s="69">
        <v>0</v>
      </c>
      <c r="E14" s="69">
        <v>1481485.3</v>
      </c>
      <c r="F14" s="168"/>
      <c r="G14" s="110"/>
      <c r="H14" s="110"/>
      <c r="I14" s="110"/>
    </row>
    <row r="15" spans="1:9" s="4" customFormat="1" ht="18" customHeight="1">
      <c r="A15" s="70">
        <v>5</v>
      </c>
      <c r="B15" s="75" t="s">
        <v>69</v>
      </c>
      <c r="C15" s="69">
        <v>34050049.2</v>
      </c>
      <c r="D15" s="69">
        <v>6498831.31</v>
      </c>
      <c r="E15" s="69">
        <v>27551217.89</v>
      </c>
      <c r="F15" s="9"/>
      <c r="G15" s="9"/>
      <c r="H15" s="9"/>
      <c r="I15" s="9"/>
    </row>
    <row r="16" spans="1:9" s="4" customFormat="1" ht="65.25" customHeight="1">
      <c r="A16" s="95">
        <v>6</v>
      </c>
      <c r="B16" s="75" t="s">
        <v>70</v>
      </c>
      <c r="C16" s="69">
        <v>74127861.01</v>
      </c>
      <c r="D16" s="69">
        <v>16375200.68</v>
      </c>
      <c r="E16" s="69">
        <v>57752660.33</v>
      </c>
      <c r="F16" s="9"/>
      <c r="G16" s="9"/>
      <c r="H16" s="9"/>
      <c r="I16" s="9"/>
    </row>
    <row r="17" spans="1:9" s="4" customFormat="1" ht="35.25" customHeight="1">
      <c r="A17" s="70">
        <v>7</v>
      </c>
      <c r="B17" s="83" t="s">
        <v>115</v>
      </c>
      <c r="C17" s="69">
        <v>81505913</v>
      </c>
      <c r="D17" s="69">
        <f>C17-E17</f>
        <v>2637070</v>
      </c>
      <c r="E17" s="69">
        <v>78868843</v>
      </c>
      <c r="F17" s="9"/>
      <c r="G17" s="9"/>
      <c r="H17" s="9"/>
      <c r="I17" s="9"/>
    </row>
    <row r="18" spans="1:9" s="38" customFormat="1" ht="47.25">
      <c r="A18" s="18">
        <v>8</v>
      </c>
      <c r="B18" s="83" t="s">
        <v>114</v>
      </c>
      <c r="C18" s="69">
        <v>66283582</v>
      </c>
      <c r="D18" s="69">
        <v>0</v>
      </c>
      <c r="E18" s="69">
        <f>+C18-D18</f>
        <v>66283582</v>
      </c>
      <c r="F18" s="110"/>
      <c r="G18" s="110"/>
      <c r="H18" s="110"/>
      <c r="I18" s="110"/>
    </row>
    <row r="19" spans="1:113" s="11" customFormat="1" ht="18.75">
      <c r="A19" s="125" t="s">
        <v>56</v>
      </c>
      <c r="B19" s="126"/>
      <c r="C19" s="85">
        <f>SUM(C11:C18)</f>
        <v>636801822.13</v>
      </c>
      <c r="D19" s="85">
        <f>SUM(D11:D18)</f>
        <v>93858631.85</v>
      </c>
      <c r="E19" s="85">
        <f>SUM(E11:E18)</f>
        <v>542943190.28</v>
      </c>
      <c r="F19" s="5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</row>
    <row r="20" spans="1:5" s="10" customFormat="1" ht="25.5" customHeight="1">
      <c r="A20" s="151" t="s">
        <v>57</v>
      </c>
      <c r="B20" s="152"/>
      <c r="C20" s="152"/>
      <c r="D20" s="152"/>
      <c r="E20" s="153"/>
    </row>
    <row r="21" spans="1:6" s="38" customFormat="1" ht="47.25">
      <c r="A21" s="70">
        <v>1</v>
      </c>
      <c r="B21" s="58" t="s">
        <v>107</v>
      </c>
      <c r="C21" s="69">
        <v>468920102.23</v>
      </c>
      <c r="D21" s="69">
        <v>253778802.23</v>
      </c>
      <c r="E21" s="69">
        <v>215141300</v>
      </c>
      <c r="F21" s="50"/>
    </row>
    <row r="22" spans="1:249" s="4" customFormat="1" ht="18.75">
      <c r="A22" s="136" t="s">
        <v>59</v>
      </c>
      <c r="B22" s="137"/>
      <c r="C22" s="86">
        <f>SUM(C21:C21)</f>
        <v>468920102.23</v>
      </c>
      <c r="D22" s="86">
        <f>SUM(D21:D21)</f>
        <v>253778802.23</v>
      </c>
      <c r="E22" s="86">
        <f>SUM(E21:E21)</f>
        <v>215141300</v>
      </c>
      <c r="F22" s="5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</row>
    <row r="23" spans="1:5" s="6" customFormat="1" ht="25.5" customHeight="1">
      <c r="A23" s="151" t="s">
        <v>22</v>
      </c>
      <c r="B23" s="152"/>
      <c r="C23" s="152"/>
      <c r="D23" s="152"/>
      <c r="E23" s="153"/>
    </row>
    <row r="24" spans="1:5" s="38" customFormat="1" ht="47.25">
      <c r="A24" s="70">
        <v>1</v>
      </c>
      <c r="B24" s="57" t="s">
        <v>131</v>
      </c>
      <c r="C24" s="69">
        <v>2177957</v>
      </c>
      <c r="D24" s="69">
        <v>0</v>
      </c>
      <c r="E24" s="69">
        <v>2177957</v>
      </c>
    </row>
    <row r="25" spans="1:5" s="38" customFormat="1" ht="47.25">
      <c r="A25" s="70">
        <v>2</v>
      </c>
      <c r="B25" s="57" t="s">
        <v>132</v>
      </c>
      <c r="C25" s="69">
        <v>595352</v>
      </c>
      <c r="D25" s="69">
        <v>0</v>
      </c>
      <c r="E25" s="69">
        <v>595352</v>
      </c>
    </row>
    <row r="26" spans="1:6" s="4" customFormat="1" ht="18.75">
      <c r="A26" s="138" t="s">
        <v>61</v>
      </c>
      <c r="B26" s="139"/>
      <c r="C26" s="15">
        <f>SUM(C24+C25)</f>
        <v>2773309</v>
      </c>
      <c r="D26" s="15">
        <f>SUM(D25+D25)</f>
        <v>0</v>
      </c>
      <c r="E26" s="15">
        <f>SUM(E24+E25)</f>
        <v>2773309</v>
      </c>
      <c r="F26" s="47"/>
    </row>
    <row r="27" spans="1:5" s="5" customFormat="1" ht="25.5" customHeight="1">
      <c r="A27" s="156" t="s">
        <v>28</v>
      </c>
      <c r="B27" s="157"/>
      <c r="C27" s="157"/>
      <c r="D27" s="157"/>
      <c r="E27" s="158"/>
    </row>
    <row r="28" spans="1:5" s="38" customFormat="1" ht="31.5">
      <c r="A28" s="70">
        <v>1</v>
      </c>
      <c r="B28" s="58" t="s">
        <v>130</v>
      </c>
      <c r="C28" s="68">
        <v>83087.11</v>
      </c>
      <c r="D28" s="69">
        <v>0</v>
      </c>
      <c r="E28" s="69">
        <v>83087.11</v>
      </c>
    </row>
    <row r="29" spans="1:6" s="4" customFormat="1" ht="18.75">
      <c r="A29" s="134" t="s">
        <v>62</v>
      </c>
      <c r="B29" s="135"/>
      <c r="C29" s="84">
        <f>SUM(C28:C28)</f>
        <v>83087.11</v>
      </c>
      <c r="D29" s="84">
        <f>SUM(D28:D28)</f>
        <v>0</v>
      </c>
      <c r="E29" s="84">
        <f>SUM(E28:E28)</f>
        <v>83087.11</v>
      </c>
      <c r="F29" s="47"/>
    </row>
    <row r="30" spans="1:5" s="4" customFormat="1" ht="26.25" customHeight="1">
      <c r="A30" s="151" t="s">
        <v>63</v>
      </c>
      <c r="B30" s="152"/>
      <c r="C30" s="152"/>
      <c r="D30" s="152"/>
      <c r="E30" s="153"/>
    </row>
    <row r="31" spans="1:5" s="4" customFormat="1" ht="47.25">
      <c r="A31" s="70">
        <v>1</v>
      </c>
      <c r="B31" s="77" t="s">
        <v>64</v>
      </c>
      <c r="C31" s="68">
        <v>729133</v>
      </c>
      <c r="D31" s="68">
        <v>0</v>
      </c>
      <c r="E31" s="76">
        <f>+C31</f>
        <v>729133</v>
      </c>
    </row>
    <row r="32" spans="1:6" s="4" customFormat="1" ht="18.75">
      <c r="A32" s="134" t="s">
        <v>65</v>
      </c>
      <c r="B32" s="135"/>
      <c r="C32" s="84">
        <f>+C31</f>
        <v>729133</v>
      </c>
      <c r="D32" s="84">
        <f>+D31</f>
        <v>0</v>
      </c>
      <c r="E32" s="84">
        <f>+E31</f>
        <v>729133</v>
      </c>
      <c r="F32" s="47"/>
    </row>
    <row r="33" spans="1:6" s="4" customFormat="1" ht="31.5" customHeight="1">
      <c r="A33" s="151" t="s">
        <v>71</v>
      </c>
      <c r="B33" s="152"/>
      <c r="C33" s="152"/>
      <c r="D33" s="152"/>
      <c r="E33" s="153"/>
      <c r="F33" s="47"/>
    </row>
    <row r="34" spans="1:6" s="38" customFormat="1" ht="101.25" customHeight="1">
      <c r="A34" s="18">
        <v>1</v>
      </c>
      <c r="B34" s="79" t="s">
        <v>98</v>
      </c>
      <c r="C34" s="69">
        <v>727441</v>
      </c>
      <c r="D34" s="87">
        <v>0</v>
      </c>
      <c r="E34" s="69">
        <v>727441</v>
      </c>
      <c r="F34" s="50"/>
    </row>
    <row r="35" spans="1:6" s="38" customFormat="1" ht="72" customHeight="1">
      <c r="A35" s="18">
        <v>2</v>
      </c>
      <c r="B35" s="79" t="s">
        <v>191</v>
      </c>
      <c r="C35" s="69">
        <v>311000</v>
      </c>
      <c r="D35" s="69">
        <v>155500</v>
      </c>
      <c r="E35" s="69">
        <v>155500</v>
      </c>
      <c r="F35" s="50"/>
    </row>
    <row r="36" spans="1:6" s="38" customFormat="1" ht="103.5" customHeight="1">
      <c r="A36" s="18">
        <v>3</v>
      </c>
      <c r="B36" s="79" t="s">
        <v>192</v>
      </c>
      <c r="C36" s="69">
        <v>67278</v>
      </c>
      <c r="D36" s="87">
        <v>18439.54</v>
      </c>
      <c r="E36" s="69">
        <v>48838.54</v>
      </c>
      <c r="F36" s="50"/>
    </row>
    <row r="37" spans="1:6" s="38" customFormat="1" ht="22.5" customHeight="1">
      <c r="A37" s="140" t="s">
        <v>75</v>
      </c>
      <c r="B37" s="140"/>
      <c r="C37" s="88">
        <f>C34+C35+C36</f>
        <v>1105719</v>
      </c>
      <c r="D37" s="88">
        <f>D34+D35+D36</f>
        <v>173939.54</v>
      </c>
      <c r="E37" s="88">
        <f>E34+E35+E36</f>
        <v>931779.54</v>
      </c>
      <c r="F37" s="50"/>
    </row>
    <row r="38" spans="1:19" s="3" customFormat="1" ht="18.75" customHeight="1">
      <c r="A38" s="169" t="s">
        <v>190</v>
      </c>
      <c r="B38" s="169"/>
      <c r="C38" s="170">
        <f>C9+C19+C22+C26+C29+C32+C37</f>
        <v>1254571005.03</v>
      </c>
      <c r="D38" s="170">
        <f>D9+D19+D22+D26+D29+D32+D37</f>
        <v>381314268.02000004</v>
      </c>
      <c r="E38" s="170">
        <f>E9+E19+E22+E26+E29+E32+E37</f>
        <v>873256737.0899999</v>
      </c>
      <c r="F38" s="22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5" ht="12.75">
      <c r="C39" s="27"/>
      <c r="D39" s="27"/>
      <c r="E39" s="27"/>
    </row>
    <row r="40" spans="3:6" ht="12.75">
      <c r="C40" s="27"/>
      <c r="D40" s="28"/>
      <c r="F40" s="35"/>
    </row>
    <row r="41" ht="12.75">
      <c r="C41" s="27"/>
    </row>
    <row r="42" spans="3:4" ht="12.75">
      <c r="C42" s="27"/>
      <c r="D42" s="28"/>
    </row>
    <row r="45" ht="12.75">
      <c r="D45" s="28"/>
    </row>
    <row r="46" spans="3:4" ht="12.75">
      <c r="C46" s="27"/>
      <c r="D46" s="28"/>
    </row>
    <row r="47" ht="12.75">
      <c r="C47" s="27"/>
    </row>
  </sheetData>
  <sheetProtection formatCells="0" formatColumns="0" formatRows="0" insertColumns="0" insertRows="0" deleteColumns="0" deleteRows="0"/>
  <mergeCells count="20">
    <mergeCell ref="A38:B38"/>
    <mergeCell ref="A22:B22"/>
    <mergeCell ref="A26:B26"/>
    <mergeCell ref="A27:E27"/>
    <mergeCell ref="A30:E30"/>
    <mergeCell ref="A37:B37"/>
    <mergeCell ref="A19:B19"/>
    <mergeCell ref="A20:E20"/>
    <mergeCell ref="A23:E23"/>
    <mergeCell ref="A33:E33"/>
    <mergeCell ref="A32:B32"/>
    <mergeCell ref="A29:B29"/>
    <mergeCell ref="A9:B9"/>
    <mergeCell ref="A10:E10"/>
    <mergeCell ref="A4:E4"/>
    <mergeCell ref="A1:E1"/>
    <mergeCell ref="A2:A3"/>
    <mergeCell ref="B2:B3"/>
    <mergeCell ref="C2:C3"/>
    <mergeCell ref="D2:E2"/>
  </mergeCells>
  <printOptions/>
  <pageMargins left="0.7874015748031497" right="0.39" top="0.51" bottom="0.37" header="0" footer="0"/>
  <pageSetup horizontalDpi="600" verticalDpi="600" orientation="portrait" scale="60" r:id="rId3"/>
  <headerFooter alignWithMargins="0">
    <oddFooter>&amp;R&amp;P/&amp;N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1" sqref="A11:E11"/>
    </sheetView>
  </sheetViews>
  <sheetFormatPr defaultColWidth="9.140625" defaultRowHeight="12.75"/>
  <cols>
    <col min="1" max="1" width="6.8515625" style="1" bestFit="1" customWidth="1"/>
    <col min="2" max="2" width="68.57421875" style="1" customWidth="1"/>
    <col min="3" max="3" width="27.421875" style="14" customWidth="1"/>
    <col min="4" max="4" width="26.57421875" style="1" customWidth="1"/>
    <col min="5" max="5" width="26.7109375" style="28" customWidth="1"/>
    <col min="6" max="6" width="14.28125" style="1" bestFit="1" customWidth="1"/>
    <col min="7" max="16384" width="9.140625" style="1" customWidth="1"/>
  </cols>
  <sheetData>
    <row r="1" spans="1:5" ht="81.75" customHeight="1">
      <c r="A1" s="164" t="s">
        <v>162</v>
      </c>
      <c r="B1" s="164"/>
      <c r="C1" s="164"/>
      <c r="D1" s="164"/>
      <c r="E1" s="164"/>
    </row>
    <row r="2" spans="1:5" ht="39" customHeight="1">
      <c r="A2" s="128" t="s">
        <v>0</v>
      </c>
      <c r="B2" s="128" t="s">
        <v>1</v>
      </c>
      <c r="C2" s="128" t="s">
        <v>3</v>
      </c>
      <c r="D2" s="128" t="s">
        <v>73</v>
      </c>
      <c r="E2" s="128"/>
    </row>
    <row r="3" spans="1:5" ht="45.75" customHeight="1">
      <c r="A3" s="128"/>
      <c r="B3" s="128"/>
      <c r="C3" s="128"/>
      <c r="D3" s="2" t="s">
        <v>4</v>
      </c>
      <c r="E3" s="26" t="s">
        <v>5</v>
      </c>
    </row>
    <row r="4" spans="1:5" s="4" customFormat="1" ht="24.75" customHeight="1">
      <c r="A4" s="145" t="s">
        <v>154</v>
      </c>
      <c r="B4" s="146"/>
      <c r="C4" s="146"/>
      <c r="D4" s="146"/>
      <c r="E4" s="147"/>
    </row>
    <row r="5" spans="1:5" s="25" customFormat="1" ht="44.25" customHeight="1">
      <c r="A5" s="71">
        <v>1</v>
      </c>
      <c r="B5" s="57" t="s">
        <v>155</v>
      </c>
      <c r="C5" s="69">
        <v>6057640</v>
      </c>
      <c r="D5" s="69">
        <v>1090040</v>
      </c>
      <c r="E5" s="69">
        <v>4967600</v>
      </c>
    </row>
    <row r="6" spans="1:6" s="4" customFormat="1" ht="18.75">
      <c r="A6" s="125" t="s">
        <v>138</v>
      </c>
      <c r="B6" s="126"/>
      <c r="C6" s="15">
        <f>+C5</f>
        <v>6057640</v>
      </c>
      <c r="D6" s="15">
        <f>+D5</f>
        <v>1090040</v>
      </c>
      <c r="E6" s="15">
        <f>+E5</f>
        <v>4967600</v>
      </c>
      <c r="F6" s="47"/>
    </row>
    <row r="7" spans="1:5" ht="21.75" customHeight="1">
      <c r="A7" s="165" t="s">
        <v>158</v>
      </c>
      <c r="B7" s="166"/>
      <c r="C7" s="166"/>
      <c r="D7" s="166"/>
      <c r="E7" s="167"/>
    </row>
    <row r="8" spans="1:5" s="34" customFormat="1" ht="47.25">
      <c r="A8" s="18">
        <v>1</v>
      </c>
      <c r="B8" s="109" t="s">
        <v>159</v>
      </c>
      <c r="C8" s="69">
        <f>+D8+E8</f>
        <v>4498340</v>
      </c>
      <c r="D8" s="69">
        <f>1100000*1.9558</f>
        <v>2151380</v>
      </c>
      <c r="E8" s="69">
        <f>1200000*1.9558</f>
        <v>2346960</v>
      </c>
    </row>
    <row r="9" spans="1:5" s="110" customFormat="1" ht="31.5">
      <c r="A9" s="18">
        <v>2</v>
      </c>
      <c r="B9" s="21" t="s">
        <v>160</v>
      </c>
      <c r="C9" s="69">
        <f>3362455*1.9558</f>
        <v>6576289.489</v>
      </c>
      <c r="D9" s="69">
        <v>0</v>
      </c>
      <c r="E9" s="69">
        <f>+C9</f>
        <v>6576289.489</v>
      </c>
    </row>
    <row r="10" spans="1:6" s="4" customFormat="1" ht="18.75">
      <c r="A10" s="140" t="s">
        <v>161</v>
      </c>
      <c r="B10" s="140"/>
      <c r="C10" s="84">
        <f>SUM(C8:C9)</f>
        <v>11074629.489</v>
      </c>
      <c r="D10" s="84">
        <f>SUM(D8:D9)</f>
        <v>2151380</v>
      </c>
      <c r="E10" s="84">
        <f>E8+E9</f>
        <v>8923249.489</v>
      </c>
      <c r="F10" s="47"/>
    </row>
    <row r="11" spans="1:6" s="25" customFormat="1" ht="22.5" customHeight="1">
      <c r="A11" s="154" t="s">
        <v>163</v>
      </c>
      <c r="B11" s="155"/>
      <c r="C11" s="163">
        <f>C6+C10</f>
        <v>17132269.489</v>
      </c>
      <c r="D11" s="163">
        <f>D6+D10</f>
        <v>3241420</v>
      </c>
      <c r="E11" s="163">
        <f>E6+E10</f>
        <v>13890849.489</v>
      </c>
      <c r="F11" s="111"/>
    </row>
    <row r="12" spans="1:5" ht="15.75">
      <c r="A12" s="112"/>
      <c r="B12" s="112"/>
      <c r="C12" s="113"/>
      <c r="D12" s="113"/>
      <c r="E12" s="113"/>
    </row>
    <row r="13" ht="12.75">
      <c r="C13" s="27"/>
    </row>
    <row r="19" ht="12.75">
      <c r="C19" s="27"/>
    </row>
    <row r="25" spans="3:4" ht="12.75">
      <c r="C25" s="114"/>
      <c r="D25" s="28"/>
    </row>
    <row r="26" ht="12.75">
      <c r="D26" s="115"/>
    </row>
    <row r="27" ht="12.75">
      <c r="C27" s="27"/>
    </row>
    <row r="28" ht="12.75">
      <c r="D28" s="28"/>
    </row>
  </sheetData>
  <sheetProtection/>
  <mergeCells count="10">
    <mergeCell ref="A11:B11"/>
    <mergeCell ref="A4:E4"/>
    <mergeCell ref="A6:B6"/>
    <mergeCell ref="A7:E7"/>
    <mergeCell ref="A10:B10"/>
    <mergeCell ref="A1:E1"/>
    <mergeCell ref="A2:A3"/>
    <mergeCell ref="B2:B3"/>
    <mergeCell ref="C2:C3"/>
    <mergeCell ref="D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" bestFit="1" customWidth="1"/>
    <col min="2" max="2" width="68.57421875" style="1" customWidth="1"/>
    <col min="3" max="3" width="27.421875" style="14" customWidth="1"/>
    <col min="4" max="4" width="26.57421875" style="1" customWidth="1"/>
    <col min="5" max="5" width="26.7109375" style="28" customWidth="1"/>
    <col min="6" max="6" width="14.28125" style="1" bestFit="1" customWidth="1"/>
    <col min="7" max="16384" width="9.140625" style="1" customWidth="1"/>
  </cols>
  <sheetData>
    <row r="1" spans="1:5" ht="81.75" customHeight="1">
      <c r="A1" s="164" t="s">
        <v>164</v>
      </c>
      <c r="B1" s="164"/>
      <c r="C1" s="164"/>
      <c r="D1" s="164"/>
      <c r="E1" s="164"/>
    </row>
    <row r="2" spans="1:5" ht="39" customHeight="1">
      <c r="A2" s="128" t="s">
        <v>0</v>
      </c>
      <c r="B2" s="128" t="s">
        <v>1</v>
      </c>
      <c r="C2" s="128" t="s">
        <v>3</v>
      </c>
      <c r="D2" s="128" t="s">
        <v>73</v>
      </c>
      <c r="E2" s="128"/>
    </row>
    <row r="3" spans="1:5" ht="45.75" customHeight="1">
      <c r="A3" s="128"/>
      <c r="B3" s="128"/>
      <c r="C3" s="128"/>
      <c r="D3" s="2" t="s">
        <v>4</v>
      </c>
      <c r="E3" s="26" t="s">
        <v>5</v>
      </c>
    </row>
    <row r="4" spans="1:5" s="4" customFormat="1" ht="24" customHeight="1">
      <c r="A4" s="151" t="s">
        <v>139</v>
      </c>
      <c r="B4" s="152"/>
      <c r="C4" s="152"/>
      <c r="D4" s="152"/>
      <c r="E4" s="153"/>
    </row>
    <row r="5" spans="1:5" s="108" customFormat="1" ht="36.75" customHeight="1">
      <c r="A5" s="18">
        <v>1</v>
      </c>
      <c r="B5" s="77" t="s">
        <v>156</v>
      </c>
      <c r="C5" s="69">
        <v>11170000</v>
      </c>
      <c r="D5" s="69">
        <v>0</v>
      </c>
      <c r="E5" s="69">
        <v>11170000</v>
      </c>
    </row>
    <row r="6" spans="1:6" s="4" customFormat="1" ht="18.75">
      <c r="A6" s="140" t="s">
        <v>157</v>
      </c>
      <c r="B6" s="140"/>
      <c r="C6" s="84">
        <f>+C5</f>
        <v>11170000</v>
      </c>
      <c r="D6" s="84">
        <f>+D5</f>
        <v>0</v>
      </c>
      <c r="E6" s="84">
        <f>+E5</f>
        <v>11170000</v>
      </c>
      <c r="F6" s="47"/>
    </row>
    <row r="7" spans="1:6" s="25" customFormat="1" ht="22.5" customHeight="1">
      <c r="A7" s="154" t="s">
        <v>165</v>
      </c>
      <c r="B7" s="155"/>
      <c r="C7" s="163">
        <f>C6</f>
        <v>11170000</v>
      </c>
      <c r="D7" s="163">
        <f>D6</f>
        <v>0</v>
      </c>
      <c r="E7" s="163">
        <f>E6</f>
        <v>11170000</v>
      </c>
      <c r="F7" s="111"/>
    </row>
    <row r="8" spans="1:5" ht="15.75">
      <c r="A8" s="112"/>
      <c r="B8" s="112"/>
      <c r="C8" s="113"/>
      <c r="D8" s="113"/>
      <c r="E8" s="113"/>
    </row>
    <row r="9" ht="12.75">
      <c r="C9" s="27"/>
    </row>
    <row r="12" ht="12.75">
      <c r="C12" s="27"/>
    </row>
    <row r="15" ht="12.75">
      <c r="C15" s="27"/>
    </row>
    <row r="21" spans="3:4" ht="12.75">
      <c r="C21" s="114"/>
      <c r="D21" s="28"/>
    </row>
    <row r="22" ht="12.75">
      <c r="D22" s="115"/>
    </row>
    <row r="23" ht="12.75">
      <c r="C23" s="27"/>
    </row>
    <row r="24" ht="12.75">
      <c r="D24" s="28"/>
    </row>
  </sheetData>
  <sheetProtection/>
  <mergeCells count="8">
    <mergeCell ref="A7:B7"/>
    <mergeCell ref="A4:E4"/>
    <mergeCell ref="A6:B6"/>
    <mergeCell ref="A1:E1"/>
    <mergeCell ref="A2:A3"/>
    <mergeCell ref="B2:B3"/>
    <mergeCell ref="C2:C3"/>
    <mergeCell ref="D2:E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6" activeCellId="1" sqref="A5:F5 A6:F6"/>
    </sheetView>
  </sheetViews>
  <sheetFormatPr defaultColWidth="9.140625" defaultRowHeight="12.75"/>
  <cols>
    <col min="1" max="1" width="6.421875" style="23" bestFit="1" customWidth="1"/>
    <col min="2" max="2" width="44.00390625" style="0" customWidth="1"/>
    <col min="3" max="3" width="29.8515625" style="0" customWidth="1"/>
    <col min="4" max="4" width="18.140625" style="24" customWidth="1"/>
    <col min="5" max="5" width="18.7109375" style="24" bestFit="1" customWidth="1"/>
    <col min="6" max="6" width="20.140625" style="24" bestFit="1" customWidth="1"/>
  </cols>
  <sheetData>
    <row r="1" spans="1:6" s="1" customFormat="1" ht="30.75" customHeight="1">
      <c r="A1" s="159" t="s">
        <v>178</v>
      </c>
      <c r="B1" s="159"/>
      <c r="C1" s="159"/>
      <c r="D1" s="159"/>
      <c r="E1" s="159"/>
      <c r="F1" s="159"/>
    </row>
    <row r="2" spans="1:6" s="1" customFormat="1" ht="15.75" customHeight="1">
      <c r="A2" s="159"/>
      <c r="B2" s="159"/>
      <c r="C2" s="159"/>
      <c r="D2" s="159"/>
      <c r="E2" s="159"/>
      <c r="F2" s="159"/>
    </row>
    <row r="3" spans="1:6" s="1" customFormat="1" ht="30.75" customHeight="1">
      <c r="A3" s="128" t="s">
        <v>0</v>
      </c>
      <c r="B3" s="128" t="s">
        <v>1</v>
      </c>
      <c r="C3" s="128" t="s">
        <v>2</v>
      </c>
      <c r="D3" s="129" t="s">
        <v>66</v>
      </c>
      <c r="E3" s="129" t="s">
        <v>73</v>
      </c>
      <c r="F3" s="129"/>
    </row>
    <row r="4" spans="1:6" s="1" customFormat="1" ht="36.75" customHeight="1">
      <c r="A4" s="128"/>
      <c r="B4" s="128"/>
      <c r="C4" s="128"/>
      <c r="D4" s="129"/>
      <c r="E4" s="26" t="s">
        <v>4</v>
      </c>
      <c r="F4" s="26" t="s">
        <v>5</v>
      </c>
    </row>
    <row r="5" spans="1:6" s="3" customFormat="1" ht="30.75" customHeight="1">
      <c r="A5" s="145" t="s">
        <v>80</v>
      </c>
      <c r="B5" s="146"/>
      <c r="C5" s="146"/>
      <c r="D5" s="146"/>
      <c r="E5" s="146"/>
      <c r="F5" s="147"/>
    </row>
    <row r="6" spans="1:6" s="3" customFormat="1" ht="33" customHeight="1">
      <c r="A6" s="160" t="s">
        <v>105</v>
      </c>
      <c r="B6" s="161"/>
      <c r="C6" s="162"/>
      <c r="D6" s="163">
        <f>SUM(D5:D5)</f>
        <v>0</v>
      </c>
      <c r="E6" s="163">
        <f>SUM(E5:E5)</f>
        <v>0</v>
      </c>
      <c r="F6" s="163">
        <f>SUM(F5:F5)</f>
        <v>0</v>
      </c>
    </row>
    <row r="17" ht="12.75">
      <c r="C17" s="89"/>
    </row>
    <row r="18" ht="12.75">
      <c r="C18" s="89"/>
    </row>
    <row r="19" ht="12.75">
      <c r="C19" s="89"/>
    </row>
    <row r="20" ht="12.75">
      <c r="C20" s="89"/>
    </row>
    <row r="21" ht="12.75">
      <c r="C21" s="89"/>
    </row>
    <row r="22" ht="12.75">
      <c r="C22" s="89"/>
    </row>
    <row r="23" ht="12.75">
      <c r="C23" s="89"/>
    </row>
    <row r="24" ht="12.75">
      <c r="C24" s="89"/>
    </row>
    <row r="25" ht="12.75">
      <c r="C25" s="89"/>
    </row>
    <row r="29" ht="12.75">
      <c r="C29" s="89"/>
    </row>
    <row r="30" ht="12.75">
      <c r="C30" s="89"/>
    </row>
    <row r="31" ht="12.75">
      <c r="C31" s="89"/>
    </row>
    <row r="33" ht="15">
      <c r="C33" s="90"/>
    </row>
    <row r="34" ht="15">
      <c r="C34" s="90"/>
    </row>
    <row r="36" ht="12.75">
      <c r="C36" s="89"/>
    </row>
    <row r="37" ht="12.75">
      <c r="C37" s="89"/>
    </row>
    <row r="40" ht="12.75">
      <c r="C40" s="89"/>
    </row>
    <row r="41" ht="12.75">
      <c r="C41" s="89"/>
    </row>
    <row r="42" ht="12.75">
      <c r="C42" s="89"/>
    </row>
  </sheetData>
  <sheetProtection/>
  <mergeCells count="8">
    <mergeCell ref="A5:F5"/>
    <mergeCell ref="A6:C6"/>
    <mergeCell ref="A1:F2"/>
    <mergeCell ref="A3:A4"/>
    <mergeCell ref="B3:B4"/>
    <mergeCell ref="C3:C4"/>
    <mergeCell ref="D3:D4"/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so_user</dc:creator>
  <cp:keywords/>
  <dc:description/>
  <cp:lastModifiedBy>EBogdanova</cp:lastModifiedBy>
  <cp:lastPrinted>2014-09-02T06:22:55Z</cp:lastPrinted>
  <dcterms:created xsi:type="dcterms:W3CDTF">2012-07-24T11:24:19Z</dcterms:created>
  <dcterms:modified xsi:type="dcterms:W3CDTF">2016-08-25T11:36:29Z</dcterms:modified>
  <cp:category/>
  <cp:version/>
  <cp:contentType/>
  <cp:contentStatus/>
</cp:coreProperties>
</file>